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chartsheets/sheet4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44.xml" ContentType="application/vnd.openxmlformats-officedocument.spreadsheetml.chart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5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drawings/drawing41.xml" ContentType="application/vnd.openxmlformats-officedocument.drawing+xml"/>
  <Override PartName="/xl/charts/chart34.xml" ContentType="application/vnd.openxmlformats-officedocument.drawingml.chart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drawings/drawing43.xml" ContentType="application/vnd.openxmlformats-officedocument.drawing+xml"/>
  <Override PartName="/xl/charts/chart36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drawings/drawing46.xml" ContentType="application/vnd.openxmlformats-officedocument.drawing+xml"/>
  <Override PartName="/xl/charts/chart38.xml" ContentType="application/vnd.openxmlformats-officedocument.drawingml.chart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drawings/drawing49.xml" ContentType="application/vnd.openxmlformats-officedocument.drawing+xml"/>
  <Override PartName="/xl/charts/chart41.xml" ContentType="application/vnd.openxmlformats-officedocument.drawingml.chart+xml"/>
  <Override PartName="/xl/drawings/drawing50.xml" ContentType="application/vnd.openxmlformats-officedocument.drawing+xml"/>
  <Override PartName="/xl/charts/chart42.xml" ContentType="application/vnd.openxmlformats-officedocument.drawingml.chart+xml"/>
  <Override PartName="/xl/drawings/drawing51.xml" ContentType="application/vnd.openxmlformats-officedocument.drawing+xml"/>
  <Override PartName="/xl/charts/chart43.xml" ContentType="application/vnd.openxmlformats-officedocument.drawingml.chart+xml"/>
  <Override PartName="/xl/drawings/drawing52.xml" ContentType="application/vnd.openxmlformats-officedocument.drawing+xml"/>
  <Override PartName="/xl/charts/chart44.xml" ContentType="application/vnd.openxmlformats-officedocument.drawingml.chart+xml"/>
  <Override PartName="/xl/drawings/drawing53.xml" ContentType="application/vnd.openxmlformats-officedocument.drawing+xml"/>
  <Override PartName="/xl/charts/chart45.xml" ContentType="application/vnd.openxmlformats-officedocument.drawingml.chart+xml"/>
  <Override PartName="/xl/drawings/drawing54.xml" ContentType="application/vnd.openxmlformats-officedocument.drawing+xml"/>
  <Override PartName="/xl/charts/chart46.xml" ContentType="application/vnd.openxmlformats-officedocument.drawingml.chart+xml"/>
  <Override PartName="/xl/drawings/drawing55.xml" ContentType="application/vnd.openxmlformats-officedocument.drawing+xml"/>
  <Override PartName="/xl/charts/chart47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48.xml" ContentType="application/vnd.openxmlformats-officedocument.drawingml.chart+xml"/>
  <Override PartName="/xl/drawings/drawing58.xml" ContentType="application/vnd.openxmlformats-officedocument.drawing+xml"/>
  <Override PartName="/xl/charts/chart49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50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51.xml" ContentType="application/vnd.openxmlformats-officedocument.drawingml.chart+xml"/>
  <Override PartName="/xl/drawings/drawing63.xml" ContentType="application/vnd.openxmlformats-officedocument.drawing+xml"/>
  <Override PartName="/xl/charts/chart52.xml" ContentType="application/vnd.openxmlformats-officedocument.drawingml.chart+xml"/>
  <Override PartName="/xl/drawings/drawing64.xml" ContentType="application/vnd.openxmlformats-officedocument.drawing+xml"/>
  <Override PartName="/xl/charts/chart53.xml" ContentType="application/vnd.openxmlformats-officedocument.drawingml.chart+xml"/>
  <Override PartName="/xl/drawings/drawing65.xml" ContentType="application/vnd.openxmlformats-officedocument.drawing+xml"/>
  <Override PartName="/xl/charts/chart54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5.xml" ContentType="application/vnd.openxmlformats-officedocument.drawingml.chart+xml"/>
  <Override PartName="/xl/drawings/drawing68.xml" ContentType="application/vnd.openxmlformats-officedocument.drawing+xml"/>
  <Override PartName="/xl/charts/chart56.xml" ContentType="application/vnd.openxmlformats-officedocument.drawingml.chart+xml"/>
  <Override PartName="/xl/drawings/drawing69.xml" ContentType="application/vnd.openxmlformats-officedocument.drawing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date1904="1" showInkAnnotation="0" autoCompressPictures="0"/>
  <bookViews>
    <workbookView xWindow="1640" yWindow="360" windowWidth="24380" windowHeight="15780" tabRatio="771" firstSheet="1" activeTab="3"/>
  </bookViews>
  <sheets>
    <sheet name="SSe vs dep (MF81A)" sheetId="77" r:id="rId1"/>
    <sheet name="Ni vs dep (MF81A)" sheetId="78" r:id="rId2"/>
    <sheet name="Cu vs dep (MF81A) (2)" sheetId="79" r:id="rId3"/>
    <sheet name="Cu100 vs SSe2" sheetId="48" r:id="rId4"/>
    <sheet name="NbTh vs ThYb" sheetId="49" r:id="rId5"/>
    <sheet name="Data" sheetId="1" r:id="rId6"/>
    <sheet name="CuPd vs dep (MF 93-Sill 4" sheetId="85" r:id="rId7"/>
    <sheet name="PdIr vs NiCu2 (3)" sheetId="84" r:id="rId8"/>
    <sheet name="PdIr vs NiCu2 (2)" sheetId="83" r:id="rId9"/>
    <sheet name="PdIr vs NiCu2" sheetId="81" r:id="rId10"/>
    <sheet name="CuPd vs dep (MF93-4" sheetId="80" r:id="rId11"/>
    <sheet name="Pd vs Cu" sheetId="62" r:id="rId12"/>
    <sheet name="Pd vs SSe" sheetId="76" r:id="rId13"/>
    <sheet name="CuPd vs SSe" sheetId="75" r:id="rId14"/>
    <sheet name="Cu vs SSe" sheetId="56" r:id="rId15"/>
    <sheet name="Cu vs Ni" sheetId="74" r:id="rId16"/>
    <sheet name="CuPd vs dep (MF23-sill4 " sheetId="72" r:id="rId17"/>
    <sheet name="Pd vs dep (MF23-sill4" sheetId="71" r:id="rId18"/>
    <sheet name="SSe vs dep (MF23-sill4" sheetId="70" r:id="rId19"/>
    <sheet name="Pd vs Ni" sheetId="46" r:id="rId20"/>
    <sheet name="Ir vs Pd" sheetId="69" r:id="rId21"/>
    <sheet name="Rh vs Pt" sheetId="68" r:id="rId22"/>
    <sheet name="Ir vs Pt  " sheetId="67" r:id="rId23"/>
    <sheet name="MF-19 Ni vs dep (assays) " sheetId="65" r:id="rId24"/>
    <sheet name="Pd-Cu Discriminant" sheetId="63" r:id="rId25"/>
    <sheet name="SSe vs dep (MF23-sill2)" sheetId="61" r:id="rId26"/>
    <sheet name="MF-23 Assays" sheetId="57" r:id="rId27"/>
    <sheet name=" MF19 Assats" sheetId="64" r:id="rId28"/>
    <sheet name="MF-23 Ni vs dep (assays)" sheetId="58" r:id="rId29"/>
    <sheet name="MF-23 NiCu vs dep (assays)" sheetId="59" r:id="rId30"/>
    <sheet name="CeYb vs dep (MF93-sill4" sheetId="55" r:id="rId31"/>
    <sheet name="SSe vs dep (MF93-sill4)" sheetId="54" r:id="rId32"/>
    <sheet name="Min vs Non" sheetId="53" r:id="rId33"/>
    <sheet name="Spider  (A-254)" sheetId="52" r:id="rId34"/>
    <sheet name="Spider (new)" sheetId="51" r:id="rId35"/>
    <sheet name="ThYb vs dep (MF93-sill4) " sheetId="50" r:id="rId36"/>
    <sheet name="Spider" sheetId="7" r:id="rId37"/>
    <sheet name="Cu vs Se" sheetId="47" r:id="rId38"/>
    <sheet name="Ni vs MgO (DDH)" sheetId="44" r:id="rId39"/>
    <sheet name="Pd vs Pt " sheetId="43" r:id="rId40"/>
    <sheet name="MgO vs dep (MF93-sill4)" sheetId="35" r:id="rId41"/>
    <sheet name="Ni vs dep (MF93-sill4) " sheetId="40" r:id="rId42"/>
    <sheet name="Cu vs dep (MF93-sill4)" sheetId="39" r:id="rId43"/>
    <sheet name="Pd vs dep (MF93-sill4)" sheetId="34" r:id="rId44"/>
    <sheet name="PdIr vs NiCu" sheetId="21" r:id="rId45"/>
    <sheet name="MgO vs dep (MF81A " sheetId="36" r:id="rId46"/>
    <sheet name="Pd vs dep (MF81A" sheetId="6" r:id="rId47"/>
    <sheet name="Samples" sheetId="38" r:id="rId48"/>
    <sheet name="2014 Data" sheetId="37" r:id="rId49"/>
    <sheet name="Pd vs S" sheetId="33" r:id="rId50"/>
    <sheet name="Pd vs Pt" sheetId="15" r:id="rId51"/>
    <sheet name="Pd vs Cu100" sheetId="31" r:id="rId52"/>
    <sheet name="Cu100 vs SSe" sheetId="30" r:id="rId53"/>
    <sheet name="Pd100 vs SSe" sheetId="28" r:id="rId54"/>
    <sheet name="SSe vs S" sheetId="17" r:id="rId55"/>
    <sheet name="Pd vs Cu EG" sheetId="26" r:id="rId56"/>
    <sheet name="NiPd vs CuIr" sheetId="20" r:id="rId57"/>
    <sheet name="PGE spiders" sheetId="23" r:id="rId58"/>
    <sheet name="Norm CI" sheetId="25" r:id="rId59"/>
    <sheet name="SPider data" sheetId="18" r:id="rId60"/>
    <sheet name="Ir vs Pt " sheetId="13" r:id="rId61"/>
    <sheet name="Ir vs MgO" sheetId="4" r:id="rId62"/>
    <sheet name="SiO vs MgO" sheetId="2" r:id="rId63"/>
    <sheet name="PGE Data" sheetId="3" r:id="rId64"/>
    <sheet name="Compare" sheetId="9" r:id="rId65"/>
    <sheet name="adam" sheetId="10" r:id="rId6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L13" i="1" l="1"/>
  <c r="DO26" i="1"/>
  <c r="DO32" i="1"/>
  <c r="DO33" i="1"/>
  <c r="DO34" i="1"/>
  <c r="DO35" i="1"/>
  <c r="DO36" i="1"/>
  <c r="DP63" i="1"/>
  <c r="BM63" i="1"/>
  <c r="DQ63" i="1"/>
  <c r="DP64" i="1"/>
  <c r="DQ64" i="1"/>
  <c r="DQ65" i="1"/>
  <c r="DQ66" i="1"/>
  <c r="DQ67" i="1"/>
  <c r="DP68" i="1"/>
  <c r="DQ68" i="1"/>
  <c r="DP69" i="1"/>
  <c r="DQ69" i="1"/>
  <c r="DP71" i="1"/>
  <c r="DQ71" i="1"/>
  <c r="DP72" i="1"/>
  <c r="DQ72" i="1"/>
  <c r="DP73" i="1"/>
  <c r="DQ73" i="1"/>
  <c r="DP74" i="1"/>
  <c r="DQ74" i="1"/>
  <c r="DP43" i="1"/>
  <c r="DQ43" i="1"/>
  <c r="DP44" i="1"/>
  <c r="DQ44" i="1"/>
  <c r="DP45" i="1"/>
  <c r="DQ45" i="1"/>
  <c r="DP46" i="1"/>
  <c r="DQ46" i="1"/>
  <c r="DP47" i="1"/>
  <c r="DQ47" i="1"/>
  <c r="DP48" i="1"/>
  <c r="DQ48" i="1"/>
  <c r="DP49" i="1"/>
  <c r="DQ49" i="1"/>
  <c r="DP50" i="1"/>
  <c r="DQ50" i="1"/>
  <c r="DP51" i="1"/>
  <c r="DQ51" i="1"/>
  <c r="DP52" i="1"/>
  <c r="DQ52" i="1"/>
  <c r="DP53" i="1"/>
  <c r="DQ53" i="1"/>
  <c r="DP54" i="1"/>
  <c r="DQ54" i="1"/>
  <c r="DP55" i="1"/>
  <c r="DQ55" i="1"/>
  <c r="DP56" i="1"/>
  <c r="DQ56" i="1"/>
  <c r="DP57" i="1"/>
  <c r="DQ57" i="1"/>
  <c r="DP58" i="1"/>
  <c r="DQ58" i="1"/>
  <c r="DP59" i="1"/>
  <c r="DQ59" i="1"/>
  <c r="DP60" i="1"/>
  <c r="DQ60" i="1"/>
  <c r="DP61" i="1"/>
  <c r="DQ61" i="1"/>
  <c r="DP62" i="1"/>
  <c r="DQ62" i="1"/>
  <c r="DQ7" i="1"/>
  <c r="DQ8" i="1"/>
  <c r="DQ9" i="1"/>
  <c r="DP10" i="1"/>
  <c r="DQ10" i="1"/>
  <c r="DQ11" i="1"/>
  <c r="DP12" i="1"/>
  <c r="DQ12" i="1"/>
  <c r="DP13" i="1"/>
  <c r="DQ13" i="1"/>
  <c r="DQ14" i="1"/>
  <c r="DP15" i="1"/>
  <c r="DQ15" i="1"/>
  <c r="DQ16" i="1"/>
  <c r="DQ17" i="1"/>
  <c r="DP18" i="1"/>
  <c r="DQ18" i="1"/>
  <c r="DP19" i="1"/>
  <c r="DQ19" i="1"/>
  <c r="DP20" i="1"/>
  <c r="DQ20" i="1"/>
  <c r="DP21" i="1"/>
  <c r="DQ21" i="1"/>
  <c r="DP22" i="1"/>
  <c r="DQ22" i="1"/>
  <c r="DP23" i="1"/>
  <c r="DQ23" i="1"/>
  <c r="DP24" i="1"/>
  <c r="DQ24" i="1"/>
  <c r="DP25" i="1"/>
  <c r="DQ25" i="1"/>
  <c r="DP27" i="1"/>
  <c r="DQ27" i="1"/>
  <c r="DP28" i="1"/>
  <c r="DQ28" i="1"/>
  <c r="DP29" i="1"/>
  <c r="DQ29" i="1"/>
  <c r="DP30" i="1"/>
  <c r="DQ30" i="1"/>
  <c r="DP31" i="1"/>
  <c r="DQ31" i="1"/>
  <c r="DP32" i="1"/>
  <c r="DQ32" i="1"/>
  <c r="DP34" i="1"/>
  <c r="DQ34" i="1"/>
  <c r="DP35" i="1"/>
  <c r="DQ35" i="1"/>
  <c r="DP36" i="1"/>
  <c r="DQ36" i="1"/>
  <c r="DP37" i="1"/>
  <c r="DQ37" i="1"/>
  <c r="DP38" i="1"/>
  <c r="DQ38" i="1"/>
  <c r="DP39" i="1"/>
  <c r="DQ39" i="1"/>
  <c r="DQ40" i="1"/>
  <c r="DP41" i="1"/>
  <c r="DQ41" i="1"/>
  <c r="DP42" i="1"/>
  <c r="DQ42" i="1"/>
  <c r="DQ6" i="1"/>
  <c r="DO18" i="1"/>
  <c r="DO19" i="1"/>
  <c r="DO20" i="1"/>
  <c r="DO21" i="1"/>
  <c r="DO22" i="1"/>
  <c r="DO23" i="1"/>
  <c r="DO24" i="1"/>
  <c r="DO25" i="1"/>
  <c r="DO27" i="1"/>
  <c r="DO28" i="1"/>
  <c r="DO29" i="1"/>
  <c r="DO30" i="1"/>
  <c r="DO31" i="1"/>
  <c r="DO38" i="1"/>
  <c r="DO39" i="1"/>
  <c r="DO40" i="1"/>
  <c r="DO41" i="1"/>
  <c r="DO43" i="1"/>
  <c r="DO44" i="1"/>
  <c r="DO46" i="1"/>
  <c r="DO47" i="1"/>
  <c r="DO49" i="1"/>
  <c r="DO50" i="1"/>
  <c r="DO51" i="1"/>
  <c r="DO52" i="1"/>
  <c r="DO53" i="1"/>
  <c r="DO54" i="1"/>
  <c r="DO55" i="1"/>
  <c r="DO56" i="1"/>
  <c r="DO57" i="1"/>
  <c r="DO58" i="1"/>
  <c r="DO59" i="1"/>
  <c r="DO60" i="1"/>
  <c r="DO61" i="1"/>
  <c r="DO62" i="1"/>
  <c r="DO7" i="1"/>
  <c r="DO8" i="1"/>
  <c r="DO9" i="1"/>
  <c r="DO10" i="1"/>
  <c r="DO12" i="1"/>
  <c r="DO13" i="1"/>
  <c r="DO14" i="1"/>
  <c r="DO15" i="1"/>
  <c r="DO16" i="1"/>
  <c r="DO6" i="1"/>
  <c r="N7" i="1"/>
  <c r="P7" i="1"/>
  <c r="N6" i="1"/>
  <c r="P6" i="1"/>
  <c r="M35" i="57"/>
  <c r="M36" i="57"/>
  <c r="M37" i="57"/>
  <c r="M38" i="57"/>
  <c r="M39" i="57"/>
  <c r="M40" i="57"/>
  <c r="M34" i="57"/>
  <c r="F32" i="57"/>
  <c r="F33" i="57"/>
  <c r="F34" i="57"/>
  <c r="F35" i="57"/>
  <c r="F36" i="57"/>
  <c r="F37" i="57"/>
  <c r="F38" i="57"/>
  <c r="F39" i="57"/>
  <c r="F40" i="57"/>
  <c r="F31" i="57"/>
  <c r="H32" i="57"/>
  <c r="H33" i="57"/>
  <c r="H34" i="57"/>
  <c r="H35" i="57"/>
  <c r="H36" i="57"/>
  <c r="H37" i="57"/>
  <c r="H38" i="57"/>
  <c r="H39" i="57"/>
  <c r="H40" i="57"/>
  <c r="H31" i="57"/>
  <c r="E25" i="57"/>
  <c r="H5" i="57"/>
  <c r="H6" i="57"/>
  <c r="H7" i="57"/>
  <c r="H8" i="57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4" i="57"/>
  <c r="AC7" i="1"/>
  <c r="AE7" i="1"/>
  <c r="CM7" i="1"/>
  <c r="CX7" i="1"/>
  <c r="DN7" i="1"/>
  <c r="AC8" i="1"/>
  <c r="AE8" i="1"/>
  <c r="CM8" i="1"/>
  <c r="CX8" i="1"/>
  <c r="DN8" i="1"/>
  <c r="DN9" i="1"/>
  <c r="AC10" i="1"/>
  <c r="AE10" i="1"/>
  <c r="CM10" i="1"/>
  <c r="CX10" i="1"/>
  <c r="DN10" i="1"/>
  <c r="DN11" i="1"/>
  <c r="DN12" i="1"/>
  <c r="DN13" i="1"/>
  <c r="DN14" i="1"/>
  <c r="DN15" i="1"/>
  <c r="DN16" i="1"/>
  <c r="DN17" i="1"/>
  <c r="AC18" i="1"/>
  <c r="AE18" i="1"/>
  <c r="CM18" i="1"/>
  <c r="CX18" i="1"/>
  <c r="DN18" i="1"/>
  <c r="AC19" i="1"/>
  <c r="AE19" i="1"/>
  <c r="CM19" i="1"/>
  <c r="CX19" i="1"/>
  <c r="DN19" i="1"/>
  <c r="AC20" i="1"/>
  <c r="AE20" i="1"/>
  <c r="CM20" i="1"/>
  <c r="CX20" i="1"/>
  <c r="DN20" i="1"/>
  <c r="AC21" i="1"/>
  <c r="AE21" i="1"/>
  <c r="CM21" i="1"/>
  <c r="CX21" i="1"/>
  <c r="DN21" i="1"/>
  <c r="AC22" i="1"/>
  <c r="AE22" i="1"/>
  <c r="CM22" i="1"/>
  <c r="CX22" i="1"/>
  <c r="DN22" i="1"/>
  <c r="AC23" i="1"/>
  <c r="AE23" i="1"/>
  <c r="CM23" i="1"/>
  <c r="CX23" i="1"/>
  <c r="DN23" i="1"/>
  <c r="AC24" i="1"/>
  <c r="AE24" i="1"/>
  <c r="CM24" i="1"/>
  <c r="CX24" i="1"/>
  <c r="DN24" i="1"/>
  <c r="AC25" i="1"/>
  <c r="AE25" i="1"/>
  <c r="CM25" i="1"/>
  <c r="CX25" i="1"/>
  <c r="DN25" i="1"/>
  <c r="AC26" i="1"/>
  <c r="AE26" i="1"/>
  <c r="CM26" i="1"/>
  <c r="CX26" i="1"/>
  <c r="DN26" i="1"/>
  <c r="AC27" i="1"/>
  <c r="AE27" i="1"/>
  <c r="CM27" i="1"/>
  <c r="CX27" i="1"/>
  <c r="DN27" i="1"/>
  <c r="AC29" i="1"/>
  <c r="AE29" i="1"/>
  <c r="CM29" i="1"/>
  <c r="CX29" i="1"/>
  <c r="DN29" i="1"/>
  <c r="AC30" i="1"/>
  <c r="AE30" i="1"/>
  <c r="CM30" i="1"/>
  <c r="CX30" i="1"/>
  <c r="DN30" i="1"/>
  <c r="AC32" i="1"/>
  <c r="AE32" i="1"/>
  <c r="CM32" i="1"/>
  <c r="CX32" i="1"/>
  <c r="DN32" i="1"/>
  <c r="AC33" i="1"/>
  <c r="AE33" i="1"/>
  <c r="CM33" i="1"/>
  <c r="CX33" i="1"/>
  <c r="DN33" i="1"/>
  <c r="AC36" i="1"/>
  <c r="AE36" i="1"/>
  <c r="CM36" i="1"/>
  <c r="CX36" i="1"/>
  <c r="DN36" i="1"/>
  <c r="AC38" i="1"/>
  <c r="AE38" i="1"/>
  <c r="CM38" i="1"/>
  <c r="CX38" i="1"/>
  <c r="DN38" i="1"/>
  <c r="AC39" i="1"/>
  <c r="AE39" i="1"/>
  <c r="CM39" i="1"/>
  <c r="CX39" i="1"/>
  <c r="DN39" i="1"/>
  <c r="AC40" i="1"/>
  <c r="AE40" i="1"/>
  <c r="CM40" i="1"/>
  <c r="CX40" i="1"/>
  <c r="DN40" i="1"/>
  <c r="AC41" i="1"/>
  <c r="AE41" i="1"/>
  <c r="CM41" i="1"/>
  <c r="CX41" i="1"/>
  <c r="DN41" i="1"/>
  <c r="DN42" i="1"/>
  <c r="AC43" i="1"/>
  <c r="AE43" i="1"/>
  <c r="CM43" i="1"/>
  <c r="CX43" i="1"/>
  <c r="DN43" i="1"/>
  <c r="AC44" i="1"/>
  <c r="AE44" i="1"/>
  <c r="CM44" i="1"/>
  <c r="CX44" i="1"/>
  <c r="DN44" i="1"/>
  <c r="DN45" i="1"/>
  <c r="AC46" i="1"/>
  <c r="AE46" i="1"/>
  <c r="CM46" i="1"/>
  <c r="CX46" i="1"/>
  <c r="DN46" i="1"/>
  <c r="AC47" i="1"/>
  <c r="AE47" i="1"/>
  <c r="CM47" i="1"/>
  <c r="CX47" i="1"/>
  <c r="DN47" i="1"/>
  <c r="DN48" i="1"/>
  <c r="AC49" i="1"/>
  <c r="AE49" i="1"/>
  <c r="CM49" i="1"/>
  <c r="CX49" i="1"/>
  <c r="DN49" i="1"/>
  <c r="AC50" i="1"/>
  <c r="AE50" i="1"/>
  <c r="CM50" i="1"/>
  <c r="CX50" i="1"/>
  <c r="DN50" i="1"/>
  <c r="AC51" i="1"/>
  <c r="AE51" i="1"/>
  <c r="CM51" i="1"/>
  <c r="CX51" i="1"/>
  <c r="DN51" i="1"/>
  <c r="AC52" i="1"/>
  <c r="AE52" i="1"/>
  <c r="CM52" i="1"/>
  <c r="CX52" i="1"/>
  <c r="DN52" i="1"/>
  <c r="AC53" i="1"/>
  <c r="AE53" i="1"/>
  <c r="CM53" i="1"/>
  <c r="CX53" i="1"/>
  <c r="DN53" i="1"/>
  <c r="AC54" i="1"/>
  <c r="AE54" i="1"/>
  <c r="CM54" i="1"/>
  <c r="CX54" i="1"/>
  <c r="DN54" i="1"/>
  <c r="AC55" i="1"/>
  <c r="AE55" i="1"/>
  <c r="CM55" i="1"/>
  <c r="CX55" i="1"/>
  <c r="DN55" i="1"/>
  <c r="DN56" i="1"/>
  <c r="AC57" i="1"/>
  <c r="AE57" i="1"/>
  <c r="CM57" i="1"/>
  <c r="CX57" i="1"/>
  <c r="DN57" i="1"/>
  <c r="AC58" i="1"/>
  <c r="AE58" i="1"/>
  <c r="CM58" i="1"/>
  <c r="CX58" i="1"/>
  <c r="DN58" i="1"/>
  <c r="AC59" i="1"/>
  <c r="AE59" i="1"/>
  <c r="CM59" i="1"/>
  <c r="CX59" i="1"/>
  <c r="DN59" i="1"/>
  <c r="DN60" i="1"/>
  <c r="AC61" i="1"/>
  <c r="AE61" i="1"/>
  <c r="CM61" i="1"/>
  <c r="CX61" i="1"/>
  <c r="DN61" i="1"/>
  <c r="AC62" i="1"/>
  <c r="AE62" i="1"/>
  <c r="CM62" i="1"/>
  <c r="CX62" i="1"/>
  <c r="DN62" i="1"/>
  <c r="AC6" i="1"/>
  <c r="AE6" i="1"/>
  <c r="CM6" i="1"/>
  <c r="CX6" i="1"/>
  <c r="DN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" i="1"/>
  <c r="DB42" i="1"/>
  <c r="DC42" i="1"/>
  <c r="CL43" i="1"/>
  <c r="CK43" i="1"/>
  <c r="DB43" i="1"/>
  <c r="DC43" i="1"/>
  <c r="CL46" i="1"/>
  <c r="CK46" i="1"/>
  <c r="DB46" i="1"/>
  <c r="DC46" i="1"/>
  <c r="CL47" i="1"/>
  <c r="CK47" i="1"/>
  <c r="DB47" i="1"/>
  <c r="DC47" i="1"/>
  <c r="CL49" i="1"/>
  <c r="CK49" i="1"/>
  <c r="DB49" i="1"/>
  <c r="DC49" i="1"/>
  <c r="CL52" i="1"/>
  <c r="CK52" i="1"/>
  <c r="DB52" i="1"/>
  <c r="DC52" i="1"/>
  <c r="CL53" i="1"/>
  <c r="CK53" i="1"/>
  <c r="DB53" i="1"/>
  <c r="DC53" i="1"/>
  <c r="CL55" i="1"/>
  <c r="CK55" i="1"/>
  <c r="DB55" i="1"/>
  <c r="DC55" i="1"/>
  <c r="CL57" i="1"/>
  <c r="CK57" i="1"/>
  <c r="DB57" i="1"/>
  <c r="DC57" i="1"/>
  <c r="CL58" i="1"/>
  <c r="CK58" i="1"/>
  <c r="DB58" i="1"/>
  <c r="DC58" i="1"/>
  <c r="CL59" i="1"/>
  <c r="CK59" i="1"/>
  <c r="DB59" i="1"/>
  <c r="DC59" i="1"/>
  <c r="CJ44" i="1"/>
  <c r="CK44" i="1"/>
  <c r="CL44" i="1"/>
  <c r="CN44" i="1"/>
  <c r="CO44" i="1"/>
  <c r="CP44" i="1"/>
  <c r="CQ44" i="1"/>
  <c r="CR44" i="1"/>
  <c r="CT44" i="1"/>
  <c r="CU44" i="1"/>
  <c r="CV44" i="1"/>
  <c r="CW44" i="1"/>
  <c r="CJ46" i="1"/>
  <c r="CN46" i="1"/>
  <c r="CO46" i="1"/>
  <c r="CP46" i="1"/>
  <c r="CQ46" i="1"/>
  <c r="CR46" i="1"/>
  <c r="BY46" i="1"/>
  <c r="CS46" i="1"/>
  <c r="CT46" i="1"/>
  <c r="CU46" i="1"/>
  <c r="CV46" i="1"/>
  <c r="CW46" i="1"/>
  <c r="CJ47" i="1"/>
  <c r="CN47" i="1"/>
  <c r="CO47" i="1"/>
  <c r="CP47" i="1"/>
  <c r="CQ47" i="1"/>
  <c r="CR47" i="1"/>
  <c r="BY47" i="1"/>
  <c r="CS47" i="1"/>
  <c r="CT47" i="1"/>
  <c r="CU47" i="1"/>
  <c r="CV47" i="1"/>
  <c r="CW47" i="1"/>
  <c r="CJ49" i="1"/>
  <c r="CN49" i="1"/>
  <c r="CO49" i="1"/>
  <c r="CP49" i="1"/>
  <c r="CQ49" i="1"/>
  <c r="CR49" i="1"/>
  <c r="BY49" i="1"/>
  <c r="CS49" i="1"/>
  <c r="CT49" i="1"/>
  <c r="CU49" i="1"/>
  <c r="CV49" i="1"/>
  <c r="CW49" i="1"/>
  <c r="CJ50" i="1"/>
  <c r="CN50" i="1"/>
  <c r="CO50" i="1"/>
  <c r="CP50" i="1"/>
  <c r="CQ50" i="1"/>
  <c r="CR50" i="1"/>
  <c r="CT50" i="1"/>
  <c r="CU50" i="1"/>
  <c r="CV50" i="1"/>
  <c r="CW50" i="1"/>
  <c r="CJ51" i="1"/>
  <c r="CL51" i="1"/>
  <c r="CN51" i="1"/>
  <c r="CO51" i="1"/>
  <c r="CP51" i="1"/>
  <c r="CQ51" i="1"/>
  <c r="CR51" i="1"/>
  <c r="BY51" i="1"/>
  <c r="CS51" i="1"/>
  <c r="CT51" i="1"/>
  <c r="CU51" i="1"/>
  <c r="CV51" i="1"/>
  <c r="CW51" i="1"/>
  <c r="CJ52" i="1"/>
  <c r="CN52" i="1"/>
  <c r="CO52" i="1"/>
  <c r="CP52" i="1"/>
  <c r="CQ52" i="1"/>
  <c r="CR52" i="1"/>
  <c r="BY52" i="1"/>
  <c r="CS52" i="1"/>
  <c r="CT52" i="1"/>
  <c r="CU52" i="1"/>
  <c r="CV52" i="1"/>
  <c r="CW52" i="1"/>
  <c r="CJ53" i="1"/>
  <c r="CN53" i="1"/>
  <c r="CO53" i="1"/>
  <c r="CP53" i="1"/>
  <c r="CQ53" i="1"/>
  <c r="CR53" i="1"/>
  <c r="BY53" i="1"/>
  <c r="CS53" i="1"/>
  <c r="CT53" i="1"/>
  <c r="CU53" i="1"/>
  <c r="CV53" i="1"/>
  <c r="CW53" i="1"/>
  <c r="CJ54" i="1"/>
  <c r="CN54" i="1"/>
  <c r="CO54" i="1"/>
  <c r="CP54" i="1"/>
  <c r="CQ54" i="1"/>
  <c r="CR54" i="1"/>
  <c r="BY54" i="1"/>
  <c r="CS54" i="1"/>
  <c r="CT54" i="1"/>
  <c r="CU54" i="1"/>
  <c r="CV54" i="1"/>
  <c r="CW54" i="1"/>
  <c r="CJ55" i="1"/>
  <c r="CN55" i="1"/>
  <c r="CO55" i="1"/>
  <c r="CP55" i="1"/>
  <c r="CQ55" i="1"/>
  <c r="CR55" i="1"/>
  <c r="BY55" i="1"/>
  <c r="CS55" i="1"/>
  <c r="CT55" i="1"/>
  <c r="CU55" i="1"/>
  <c r="CV55" i="1"/>
  <c r="CW55" i="1"/>
  <c r="CR56" i="1"/>
  <c r="CJ57" i="1"/>
  <c r="CN57" i="1"/>
  <c r="CO57" i="1"/>
  <c r="CP57" i="1"/>
  <c r="CQ57" i="1"/>
  <c r="CR57" i="1"/>
  <c r="BY57" i="1"/>
  <c r="CS57" i="1"/>
  <c r="CT57" i="1"/>
  <c r="CU57" i="1"/>
  <c r="CV57" i="1"/>
  <c r="CW57" i="1"/>
  <c r="CJ58" i="1"/>
  <c r="CN58" i="1"/>
  <c r="CO58" i="1"/>
  <c r="CP58" i="1"/>
  <c r="CQ58" i="1"/>
  <c r="CR58" i="1"/>
  <c r="BY58" i="1"/>
  <c r="CS58" i="1"/>
  <c r="CT58" i="1"/>
  <c r="CU58" i="1"/>
  <c r="CV58" i="1"/>
  <c r="CW58" i="1"/>
  <c r="CJ59" i="1"/>
  <c r="CN59" i="1"/>
  <c r="CO59" i="1"/>
  <c r="CP59" i="1"/>
  <c r="CQ59" i="1"/>
  <c r="CR59" i="1"/>
  <c r="BY59" i="1"/>
  <c r="CS59" i="1"/>
  <c r="CT59" i="1"/>
  <c r="CU59" i="1"/>
  <c r="CV59" i="1"/>
  <c r="CW59" i="1"/>
  <c r="CJ61" i="1"/>
  <c r="CK61" i="1"/>
  <c r="CL61" i="1"/>
  <c r="CN61" i="1"/>
  <c r="CO61" i="1"/>
  <c r="CP61" i="1"/>
  <c r="CQ61" i="1"/>
  <c r="CR61" i="1"/>
  <c r="BY61" i="1"/>
  <c r="CS61" i="1"/>
  <c r="CT61" i="1"/>
  <c r="CU61" i="1"/>
  <c r="CV61" i="1"/>
  <c r="CW61" i="1"/>
  <c r="CJ62" i="1"/>
  <c r="CK62" i="1"/>
  <c r="CL62" i="1"/>
  <c r="CN62" i="1"/>
  <c r="CO62" i="1"/>
  <c r="CP62" i="1"/>
  <c r="CQ62" i="1"/>
  <c r="CR62" i="1"/>
  <c r="BY62" i="1"/>
  <c r="CS62" i="1"/>
  <c r="CT62" i="1"/>
  <c r="CU62" i="1"/>
  <c r="CV62" i="1"/>
  <c r="CW62" i="1"/>
  <c r="CW43" i="1"/>
  <c r="CV43" i="1"/>
  <c r="CU43" i="1"/>
  <c r="CT43" i="1"/>
  <c r="BY43" i="1"/>
  <c r="CS43" i="1"/>
  <c r="CR43" i="1"/>
  <c r="CQ43" i="1"/>
  <c r="CP43" i="1"/>
  <c r="CO43" i="1"/>
  <c r="CN43" i="1"/>
  <c r="CJ43" i="1"/>
  <c r="DH43" i="1"/>
  <c r="DH44" i="1"/>
  <c r="DH46" i="1"/>
  <c r="DH47" i="1"/>
  <c r="DH49" i="1"/>
  <c r="DH50" i="1"/>
  <c r="DH51" i="1"/>
  <c r="DH52" i="1"/>
  <c r="DH53" i="1"/>
  <c r="DH54" i="1"/>
  <c r="DH55" i="1"/>
  <c r="DH57" i="1"/>
  <c r="DH58" i="1"/>
  <c r="DH59" i="1"/>
  <c r="DH61" i="1"/>
  <c r="DH62" i="1"/>
  <c r="DH19" i="1"/>
  <c r="DH20" i="1"/>
  <c r="DH21" i="1"/>
  <c r="DH23" i="1"/>
  <c r="DH25" i="1"/>
  <c r="DH26" i="1"/>
  <c r="DH27" i="1"/>
  <c r="DH28" i="1"/>
  <c r="DH30" i="1"/>
  <c r="DH31" i="1"/>
  <c r="DH33" i="1"/>
  <c r="DH34" i="1"/>
  <c r="DH35" i="1"/>
  <c r="DH36" i="1"/>
  <c r="DH38" i="1"/>
  <c r="DH39" i="1"/>
  <c r="DH41" i="1"/>
  <c r="DH9" i="1"/>
  <c r="DH10" i="1"/>
  <c r="DH11" i="1"/>
  <c r="DH12" i="1"/>
  <c r="DH13" i="1"/>
  <c r="DH14" i="1"/>
  <c r="DH15" i="1"/>
  <c r="DH16" i="1"/>
  <c r="N44" i="1"/>
  <c r="P44" i="1"/>
  <c r="N46" i="1"/>
  <c r="P46" i="1"/>
  <c r="N47" i="1"/>
  <c r="P47" i="1"/>
  <c r="N49" i="1"/>
  <c r="P49" i="1"/>
  <c r="N50" i="1"/>
  <c r="P50" i="1"/>
  <c r="N51" i="1"/>
  <c r="P51" i="1"/>
  <c r="N52" i="1"/>
  <c r="P52" i="1"/>
  <c r="N53" i="1"/>
  <c r="P53" i="1"/>
  <c r="N54" i="1"/>
  <c r="P54" i="1"/>
  <c r="N55" i="1"/>
  <c r="P55" i="1"/>
  <c r="N57" i="1"/>
  <c r="P57" i="1"/>
  <c r="N58" i="1"/>
  <c r="P58" i="1"/>
  <c r="N59" i="1"/>
  <c r="P59" i="1"/>
  <c r="N61" i="1"/>
  <c r="P61" i="1"/>
  <c r="N62" i="1"/>
  <c r="P62" i="1"/>
  <c r="N43" i="1"/>
  <c r="P43" i="1"/>
  <c r="N23" i="1"/>
  <c r="P23" i="1"/>
  <c r="N25" i="1"/>
  <c r="P25" i="1"/>
  <c r="N27" i="1"/>
  <c r="P27" i="1"/>
  <c r="N28" i="1"/>
  <c r="P28" i="1"/>
  <c r="N31" i="1"/>
  <c r="P31" i="1"/>
  <c r="N34" i="1"/>
  <c r="P34" i="1"/>
  <c r="N35" i="1"/>
  <c r="P35" i="1"/>
  <c r="N33" i="1"/>
  <c r="N9" i="1"/>
  <c r="P9" i="1"/>
  <c r="N10" i="1"/>
  <c r="P10" i="1"/>
  <c r="N11" i="1"/>
  <c r="P11" i="1"/>
  <c r="N12" i="1"/>
  <c r="P12" i="1"/>
  <c r="N13" i="1"/>
  <c r="P13" i="1"/>
  <c r="N14" i="1"/>
  <c r="P14" i="1"/>
  <c r="N15" i="1"/>
  <c r="P15" i="1"/>
  <c r="N16" i="1"/>
  <c r="P16" i="1"/>
  <c r="AO61" i="1"/>
  <c r="AN61" i="1"/>
  <c r="AM61" i="1"/>
  <c r="AL61" i="1"/>
  <c r="AK61" i="1"/>
  <c r="AJ61" i="1"/>
  <c r="AI61" i="1"/>
  <c r="AH61" i="1"/>
  <c r="AG61" i="1"/>
  <c r="AF61" i="1"/>
  <c r="AO52" i="1"/>
  <c r="AN52" i="1"/>
  <c r="AM52" i="1"/>
  <c r="AL52" i="1"/>
  <c r="AK52" i="1"/>
  <c r="AJ52" i="1"/>
  <c r="AI52" i="1"/>
  <c r="AH52" i="1"/>
  <c r="AG52" i="1"/>
  <c r="AF52" i="1"/>
  <c r="AO49" i="1"/>
  <c r="AN49" i="1"/>
  <c r="AM49" i="1"/>
  <c r="AL49" i="1"/>
  <c r="AK49" i="1"/>
  <c r="AJ49" i="1"/>
  <c r="AI49" i="1"/>
  <c r="AH49" i="1"/>
  <c r="AG49" i="1"/>
  <c r="AF49" i="1"/>
  <c r="AO62" i="1"/>
  <c r="AN62" i="1"/>
  <c r="AM62" i="1"/>
  <c r="AL62" i="1"/>
  <c r="AK62" i="1"/>
  <c r="AJ62" i="1"/>
  <c r="AI62" i="1"/>
  <c r="AH62" i="1"/>
  <c r="AG62" i="1"/>
  <c r="AF62" i="1"/>
  <c r="AC35" i="1"/>
  <c r="AE35" i="1"/>
  <c r="AO35" i="1"/>
  <c r="AN35" i="1"/>
  <c r="AM35" i="1"/>
  <c r="AL35" i="1"/>
  <c r="AK35" i="1"/>
  <c r="AJ35" i="1"/>
  <c r="AI35" i="1"/>
  <c r="AH35" i="1"/>
  <c r="AG35" i="1"/>
  <c r="AF35" i="1"/>
  <c r="AC34" i="1"/>
  <c r="AE34" i="1"/>
  <c r="AO34" i="1"/>
  <c r="AN34" i="1"/>
  <c r="AM34" i="1"/>
  <c r="AL34" i="1"/>
  <c r="AK34" i="1"/>
  <c r="AJ34" i="1"/>
  <c r="AI34" i="1"/>
  <c r="AH34" i="1"/>
  <c r="AG34" i="1"/>
  <c r="AF34" i="1"/>
  <c r="AC31" i="1"/>
  <c r="AE31" i="1"/>
  <c r="AO31" i="1"/>
  <c r="AN31" i="1"/>
  <c r="AM31" i="1"/>
  <c r="AL31" i="1"/>
  <c r="AK31" i="1"/>
  <c r="AJ31" i="1"/>
  <c r="AI31" i="1"/>
  <c r="AH31" i="1"/>
  <c r="AG31" i="1"/>
  <c r="AF31" i="1"/>
  <c r="AC28" i="1"/>
  <c r="AE28" i="1"/>
  <c r="AO28" i="1"/>
  <c r="AN28" i="1"/>
  <c r="AM28" i="1"/>
  <c r="AL28" i="1"/>
  <c r="AK28" i="1"/>
  <c r="AJ28" i="1"/>
  <c r="AI28" i="1"/>
  <c r="AH28" i="1"/>
  <c r="AG28" i="1"/>
  <c r="AF28" i="1"/>
  <c r="AO59" i="1"/>
  <c r="AN59" i="1"/>
  <c r="AM59" i="1"/>
  <c r="AL59" i="1"/>
  <c r="AK59" i="1"/>
  <c r="AJ59" i="1"/>
  <c r="AI59" i="1"/>
  <c r="AH59" i="1"/>
  <c r="AG59" i="1"/>
  <c r="AF59" i="1"/>
  <c r="AO58" i="1"/>
  <c r="AN58" i="1"/>
  <c r="AM58" i="1"/>
  <c r="AL58" i="1"/>
  <c r="AK58" i="1"/>
  <c r="AJ58" i="1"/>
  <c r="AI58" i="1"/>
  <c r="AH58" i="1"/>
  <c r="AG58" i="1"/>
  <c r="AF58" i="1"/>
  <c r="AO57" i="1"/>
  <c r="AN57" i="1"/>
  <c r="AM57" i="1"/>
  <c r="AL57" i="1"/>
  <c r="AK57" i="1"/>
  <c r="AJ57" i="1"/>
  <c r="AI57" i="1"/>
  <c r="AH57" i="1"/>
  <c r="AG57" i="1"/>
  <c r="AF57" i="1"/>
  <c r="AC16" i="1"/>
  <c r="AE16" i="1"/>
  <c r="AO16" i="1"/>
  <c r="AN16" i="1"/>
  <c r="AM16" i="1"/>
  <c r="AL16" i="1"/>
  <c r="AK16" i="1"/>
  <c r="AJ16" i="1"/>
  <c r="AI16" i="1"/>
  <c r="AH16" i="1"/>
  <c r="AF16" i="1"/>
  <c r="AC14" i="1"/>
  <c r="AE14" i="1"/>
  <c r="AO14" i="1"/>
  <c r="AN14" i="1"/>
  <c r="AM14" i="1"/>
  <c r="AL14" i="1"/>
  <c r="AK14" i="1"/>
  <c r="AJ14" i="1"/>
  <c r="AI14" i="1"/>
  <c r="AH14" i="1"/>
  <c r="AG14" i="1"/>
  <c r="AF14" i="1"/>
  <c r="AC11" i="1"/>
  <c r="AE11" i="1"/>
  <c r="AO11" i="1"/>
  <c r="AN11" i="1"/>
  <c r="AM11" i="1"/>
  <c r="AL11" i="1"/>
  <c r="AK11" i="1"/>
  <c r="AJ11" i="1"/>
  <c r="AI11" i="1"/>
  <c r="AH11" i="1"/>
  <c r="AG11" i="1"/>
  <c r="AF11" i="1"/>
  <c r="AC9" i="1"/>
  <c r="AE9" i="1"/>
  <c r="AO9" i="1"/>
  <c r="AN9" i="1"/>
  <c r="AM9" i="1"/>
  <c r="AL9" i="1"/>
  <c r="AK9" i="1"/>
  <c r="AJ9" i="1"/>
  <c r="AI9" i="1"/>
  <c r="AH9" i="1"/>
  <c r="AG9" i="1"/>
  <c r="AF9" i="1"/>
  <c r="AO55" i="1"/>
  <c r="AN55" i="1"/>
  <c r="AM55" i="1"/>
  <c r="AL55" i="1"/>
  <c r="AK55" i="1"/>
  <c r="AJ55" i="1"/>
  <c r="AI55" i="1"/>
  <c r="AH55" i="1"/>
  <c r="AG55" i="1"/>
  <c r="AF55" i="1"/>
  <c r="AO54" i="1"/>
  <c r="AN54" i="1"/>
  <c r="AM54" i="1"/>
  <c r="AL54" i="1"/>
  <c r="AK54" i="1"/>
  <c r="AJ54" i="1"/>
  <c r="AI54" i="1"/>
  <c r="AH54" i="1"/>
  <c r="AG54" i="1"/>
  <c r="AF54" i="1"/>
  <c r="AO53" i="1"/>
  <c r="AN53" i="1"/>
  <c r="AM53" i="1"/>
  <c r="AL53" i="1"/>
  <c r="AK53" i="1"/>
  <c r="AJ53" i="1"/>
  <c r="AI53" i="1"/>
  <c r="AH53" i="1"/>
  <c r="AG53" i="1"/>
  <c r="AF53" i="1"/>
  <c r="AO51" i="1"/>
  <c r="AN51" i="1"/>
  <c r="AM51" i="1"/>
  <c r="AL51" i="1"/>
  <c r="AK51" i="1"/>
  <c r="AJ51" i="1"/>
  <c r="AI51" i="1"/>
  <c r="AH51" i="1"/>
  <c r="AG51" i="1"/>
  <c r="AF51" i="1"/>
  <c r="AO50" i="1"/>
  <c r="AN50" i="1"/>
  <c r="AM50" i="1"/>
  <c r="AL50" i="1"/>
  <c r="AK50" i="1"/>
  <c r="AJ50" i="1"/>
  <c r="AI50" i="1"/>
  <c r="AH50" i="1"/>
  <c r="AG50" i="1"/>
  <c r="AF50" i="1"/>
  <c r="AO47" i="1"/>
  <c r="AN47" i="1"/>
  <c r="AM47" i="1"/>
  <c r="AL47" i="1"/>
  <c r="AK47" i="1"/>
  <c r="AJ47" i="1"/>
  <c r="AI47" i="1"/>
  <c r="AH47" i="1"/>
  <c r="AG47" i="1"/>
  <c r="AF47" i="1"/>
  <c r="AO46" i="1"/>
  <c r="AN46" i="1"/>
  <c r="AM46" i="1"/>
  <c r="AL46" i="1"/>
  <c r="AK46" i="1"/>
  <c r="AJ46" i="1"/>
  <c r="AI46" i="1"/>
  <c r="AH46" i="1"/>
  <c r="AG46" i="1"/>
  <c r="AF46" i="1"/>
  <c r="AO44" i="1"/>
  <c r="AN44" i="1"/>
  <c r="AM44" i="1"/>
  <c r="AL44" i="1"/>
  <c r="AK44" i="1"/>
  <c r="AJ44" i="1"/>
  <c r="AI44" i="1"/>
  <c r="AH44" i="1"/>
  <c r="AG44" i="1"/>
  <c r="AF44" i="1"/>
  <c r="AO43" i="1"/>
  <c r="AN43" i="1"/>
  <c r="AM43" i="1"/>
  <c r="AL43" i="1"/>
  <c r="AK43" i="1"/>
  <c r="AJ43" i="1"/>
  <c r="AI43" i="1"/>
  <c r="AH43" i="1"/>
  <c r="AG43" i="1"/>
  <c r="AF43" i="1"/>
  <c r="AC9" i="37"/>
  <c r="AE9" i="37"/>
  <c r="AO9" i="37"/>
  <c r="AC10" i="37"/>
  <c r="AE10" i="37"/>
  <c r="AO10" i="37"/>
  <c r="AC11" i="37"/>
  <c r="AE11" i="37"/>
  <c r="AO11" i="37"/>
  <c r="AC12" i="37"/>
  <c r="AE12" i="37"/>
  <c r="AO12" i="37"/>
  <c r="AC13" i="37"/>
  <c r="AE13" i="37"/>
  <c r="AO13" i="37"/>
  <c r="AC14" i="37"/>
  <c r="AE14" i="37"/>
  <c r="AO14" i="37"/>
  <c r="AC15" i="37"/>
  <c r="AE15" i="37"/>
  <c r="AO15" i="37"/>
  <c r="AC16" i="37"/>
  <c r="AE16" i="37"/>
  <c r="AO16" i="37"/>
  <c r="AC17" i="37"/>
  <c r="AE17" i="37"/>
  <c r="AO17" i="37"/>
  <c r="AC18" i="37"/>
  <c r="AE18" i="37"/>
  <c r="AO18" i="37"/>
  <c r="AC19" i="37"/>
  <c r="AE19" i="37"/>
  <c r="AO19" i="37"/>
  <c r="AC20" i="37"/>
  <c r="AE20" i="37"/>
  <c r="AO20" i="37"/>
  <c r="AC21" i="37"/>
  <c r="AE21" i="37"/>
  <c r="AO21" i="37"/>
  <c r="AC22" i="37"/>
  <c r="AE22" i="37"/>
  <c r="AO22" i="37"/>
  <c r="AC23" i="37"/>
  <c r="AE23" i="37"/>
  <c r="AO23" i="37"/>
  <c r="AC24" i="37"/>
  <c r="AE24" i="37"/>
  <c r="AO24" i="37"/>
  <c r="AC25" i="37"/>
  <c r="AE25" i="37"/>
  <c r="AO25" i="37"/>
  <c r="AC26" i="37"/>
  <c r="AE26" i="37"/>
  <c r="AO26" i="37"/>
  <c r="AC27" i="37"/>
  <c r="AE27" i="37"/>
  <c r="AO27" i="37"/>
  <c r="AC28" i="37"/>
  <c r="AE28" i="37"/>
  <c r="AO28" i="37"/>
  <c r="AC29" i="37"/>
  <c r="AE29" i="37"/>
  <c r="AO29" i="37"/>
  <c r="AC30" i="37"/>
  <c r="AE30" i="37"/>
  <c r="AO30" i="37"/>
  <c r="AC31" i="37"/>
  <c r="AE31" i="37"/>
  <c r="AO31" i="37"/>
  <c r="AC8" i="37"/>
  <c r="AE8" i="37"/>
  <c r="AO8" i="37"/>
  <c r="AN9" i="37"/>
  <c r="AN10" i="37"/>
  <c r="AN11" i="37"/>
  <c r="AN12" i="37"/>
  <c r="AN13" i="37"/>
  <c r="AN14" i="37"/>
  <c r="AN15" i="37"/>
  <c r="AN16" i="37"/>
  <c r="AN17" i="37"/>
  <c r="AN18" i="37"/>
  <c r="AN19" i="37"/>
  <c r="AN20" i="37"/>
  <c r="AN21" i="37"/>
  <c r="AN22" i="37"/>
  <c r="AN23" i="37"/>
  <c r="AN24" i="37"/>
  <c r="AN25" i="37"/>
  <c r="AN26" i="37"/>
  <c r="AN27" i="37"/>
  <c r="AN28" i="37"/>
  <c r="AN29" i="37"/>
  <c r="AN30" i="37"/>
  <c r="AN31" i="37"/>
  <c r="AN8" i="37"/>
  <c r="AM9" i="37"/>
  <c r="AM10" i="37"/>
  <c r="AM11" i="37"/>
  <c r="AM12" i="37"/>
  <c r="AM13" i="37"/>
  <c r="AM14" i="37"/>
  <c r="AM15" i="37"/>
  <c r="AM16" i="37"/>
  <c r="AM17" i="37"/>
  <c r="AM18" i="37"/>
  <c r="AM19" i="37"/>
  <c r="AM20" i="37"/>
  <c r="AM21" i="37"/>
  <c r="AM22" i="37"/>
  <c r="AM23" i="37"/>
  <c r="AM24" i="37"/>
  <c r="AM25" i="37"/>
  <c r="AM26" i="37"/>
  <c r="AM27" i="37"/>
  <c r="AM28" i="37"/>
  <c r="AM29" i="37"/>
  <c r="AM30" i="37"/>
  <c r="AM31" i="37"/>
  <c r="AM8" i="37"/>
  <c r="AL9" i="37"/>
  <c r="AL10" i="37"/>
  <c r="AL11" i="37"/>
  <c r="AL12" i="37"/>
  <c r="AL13" i="37"/>
  <c r="AL14" i="37"/>
  <c r="AL15" i="37"/>
  <c r="AL16" i="37"/>
  <c r="AL17" i="37"/>
  <c r="AL18" i="37"/>
  <c r="AL19" i="37"/>
  <c r="AL20" i="37"/>
  <c r="AL21" i="37"/>
  <c r="AL22" i="37"/>
  <c r="AL23" i="37"/>
  <c r="AL24" i="37"/>
  <c r="AL25" i="37"/>
  <c r="AL26" i="37"/>
  <c r="AL27" i="37"/>
  <c r="AL28" i="37"/>
  <c r="AL29" i="37"/>
  <c r="AL30" i="37"/>
  <c r="AL31" i="37"/>
  <c r="AL8" i="37"/>
  <c r="AK9" i="37"/>
  <c r="AK10" i="37"/>
  <c r="AK11" i="37"/>
  <c r="AK12" i="37"/>
  <c r="AK13" i="37"/>
  <c r="AK14" i="37"/>
  <c r="AK15" i="37"/>
  <c r="AK16" i="37"/>
  <c r="AK17" i="37"/>
  <c r="AK18" i="37"/>
  <c r="AK19" i="37"/>
  <c r="AK20" i="37"/>
  <c r="AK21" i="37"/>
  <c r="AK22" i="37"/>
  <c r="AK23" i="37"/>
  <c r="AK24" i="37"/>
  <c r="AK25" i="37"/>
  <c r="AK26" i="37"/>
  <c r="AK27" i="37"/>
  <c r="AK28" i="37"/>
  <c r="AK29" i="37"/>
  <c r="AK30" i="37"/>
  <c r="AK31" i="37"/>
  <c r="AK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J27" i="37"/>
  <c r="AJ28" i="37"/>
  <c r="AJ29" i="37"/>
  <c r="AJ30" i="37"/>
  <c r="AJ31" i="37"/>
  <c r="AJ8" i="37"/>
  <c r="AI9" i="37"/>
  <c r="AI10" i="37"/>
  <c r="AI11" i="37"/>
  <c r="AI12" i="37"/>
  <c r="AI13" i="37"/>
  <c r="AI14" i="37"/>
  <c r="AI15" i="37"/>
  <c r="AI16" i="37"/>
  <c r="AI17" i="37"/>
  <c r="AI18" i="37"/>
  <c r="AI19" i="37"/>
  <c r="AI20" i="37"/>
  <c r="AI21" i="37"/>
  <c r="AI22" i="37"/>
  <c r="AI23" i="37"/>
  <c r="AI24" i="37"/>
  <c r="AI25" i="37"/>
  <c r="AI26" i="37"/>
  <c r="AI27" i="37"/>
  <c r="AI28" i="37"/>
  <c r="AI29" i="37"/>
  <c r="AI30" i="37"/>
  <c r="AI31" i="37"/>
  <c r="AI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8" i="37"/>
  <c r="AH29" i="37"/>
  <c r="AH30" i="37"/>
  <c r="AH31" i="37"/>
  <c r="AH8" i="37"/>
  <c r="AG9" i="37"/>
  <c r="AG10" i="37"/>
  <c r="AG11" i="37"/>
  <c r="AG12" i="37"/>
  <c r="AG13" i="37"/>
  <c r="AG14" i="37"/>
  <c r="AG15" i="37"/>
  <c r="AG16" i="37"/>
  <c r="AG17" i="37"/>
  <c r="AG18" i="37"/>
  <c r="AG19" i="37"/>
  <c r="AG20" i="37"/>
  <c r="AG21" i="37"/>
  <c r="AG22" i="37"/>
  <c r="AG23" i="37"/>
  <c r="AG24" i="37"/>
  <c r="AG25" i="37"/>
  <c r="AG26" i="37"/>
  <c r="AG27" i="37"/>
  <c r="AG28" i="37"/>
  <c r="AG29" i="37"/>
  <c r="AG30" i="37"/>
  <c r="AG31" i="37"/>
  <c r="AG8" i="37"/>
  <c r="AF9" i="37"/>
  <c r="AF10" i="37"/>
  <c r="AF11" i="37"/>
  <c r="AF12" i="37"/>
  <c r="AF13" i="37"/>
  <c r="AF14" i="37"/>
  <c r="AF15" i="37"/>
  <c r="AF16" i="37"/>
  <c r="AF17" i="37"/>
  <c r="AF18" i="37"/>
  <c r="AF19" i="37"/>
  <c r="AF20" i="37"/>
  <c r="AF21" i="37"/>
  <c r="AF22" i="37"/>
  <c r="AF23" i="37"/>
  <c r="AF24" i="37"/>
  <c r="AF25" i="37"/>
  <c r="AF26" i="37"/>
  <c r="AF27" i="37"/>
  <c r="AF28" i="37"/>
  <c r="AF29" i="37"/>
  <c r="AF30" i="37"/>
  <c r="AF31" i="37"/>
  <c r="AF8" i="37"/>
  <c r="DH13" i="37"/>
  <c r="N4" i="1"/>
  <c r="P4" i="1"/>
  <c r="AF6" i="1"/>
  <c r="AG6" i="1"/>
  <c r="AH6" i="1"/>
  <c r="AI6" i="1"/>
  <c r="AJ6" i="1"/>
  <c r="AK6" i="1"/>
  <c r="AL6" i="1"/>
  <c r="AM6" i="1"/>
  <c r="AN6" i="1"/>
  <c r="AO6" i="1"/>
  <c r="CI6" i="1"/>
  <c r="CJ6" i="1"/>
  <c r="CK6" i="1"/>
  <c r="CL6" i="1"/>
  <c r="CN6" i="1"/>
  <c r="CO6" i="1"/>
  <c r="CP6" i="1"/>
  <c r="CQ6" i="1"/>
  <c r="CR6" i="1"/>
  <c r="CS6" i="1"/>
  <c r="CT6" i="1"/>
  <c r="CU6" i="1"/>
  <c r="CV6" i="1"/>
  <c r="CW6" i="1"/>
  <c r="DB6" i="1"/>
  <c r="DC6" i="1"/>
  <c r="DD6" i="1"/>
  <c r="DE6" i="1"/>
  <c r="DH6" i="1"/>
  <c r="AF7" i="1"/>
  <c r="AG7" i="1"/>
  <c r="AH7" i="1"/>
  <c r="AI7" i="1"/>
  <c r="AJ7" i="1"/>
  <c r="AK7" i="1"/>
  <c r="AL7" i="1"/>
  <c r="AM7" i="1"/>
  <c r="AN7" i="1"/>
  <c r="AO7" i="1"/>
  <c r="CI7" i="1"/>
  <c r="CJ7" i="1"/>
  <c r="CK7" i="1"/>
  <c r="CL7" i="1"/>
  <c r="CN7" i="1"/>
  <c r="CO7" i="1"/>
  <c r="CP7" i="1"/>
  <c r="CQ7" i="1"/>
  <c r="CR7" i="1"/>
  <c r="CS7" i="1"/>
  <c r="CT7" i="1"/>
  <c r="CU7" i="1"/>
  <c r="CV7" i="1"/>
  <c r="CW7" i="1"/>
  <c r="DB7" i="1"/>
  <c r="DC7" i="1"/>
  <c r="DD7" i="1"/>
  <c r="DE7" i="1"/>
  <c r="DH7" i="1"/>
  <c r="N8" i="1"/>
  <c r="P8" i="1"/>
  <c r="AF8" i="1"/>
  <c r="AG8" i="1"/>
  <c r="AH8" i="1"/>
  <c r="AI8" i="1"/>
  <c r="AJ8" i="1"/>
  <c r="AK8" i="1"/>
  <c r="AL8" i="1"/>
  <c r="AM8" i="1"/>
  <c r="AN8" i="1"/>
  <c r="AO8" i="1"/>
  <c r="CI8" i="1"/>
  <c r="CJ8" i="1"/>
  <c r="CK8" i="1"/>
  <c r="CL8" i="1"/>
  <c r="CN8" i="1"/>
  <c r="CO8" i="1"/>
  <c r="CP8" i="1"/>
  <c r="CQ8" i="1"/>
  <c r="CR8" i="1"/>
  <c r="CS8" i="1"/>
  <c r="CT8" i="1"/>
  <c r="CU8" i="1"/>
  <c r="CV8" i="1"/>
  <c r="CW8" i="1"/>
  <c r="DB8" i="1"/>
  <c r="DC8" i="1"/>
  <c r="DD8" i="1"/>
  <c r="DE8" i="1"/>
  <c r="DH8" i="1"/>
  <c r="AF10" i="1"/>
  <c r="AG10" i="1"/>
  <c r="AH10" i="1"/>
  <c r="AI10" i="1"/>
  <c r="AJ10" i="1"/>
  <c r="AK10" i="1"/>
  <c r="AL10" i="1"/>
  <c r="AM10" i="1"/>
  <c r="AN10" i="1"/>
  <c r="AO10" i="1"/>
  <c r="CI10" i="1"/>
  <c r="CJ10" i="1"/>
  <c r="CK10" i="1"/>
  <c r="CL10" i="1"/>
  <c r="CN10" i="1"/>
  <c r="CO10" i="1"/>
  <c r="CP10" i="1"/>
  <c r="CQ10" i="1"/>
  <c r="CR10" i="1"/>
  <c r="CS10" i="1"/>
  <c r="CT10" i="1"/>
  <c r="CU10" i="1"/>
  <c r="CV10" i="1"/>
  <c r="CW10" i="1"/>
  <c r="DB10" i="1"/>
  <c r="DC10" i="1"/>
  <c r="DD10" i="1"/>
  <c r="DE10" i="1"/>
  <c r="AC12" i="1"/>
  <c r="AO12" i="1"/>
  <c r="CI12" i="1"/>
  <c r="DD12" i="1"/>
  <c r="DE12" i="1"/>
  <c r="DI12" i="1"/>
  <c r="DL12" i="1"/>
  <c r="DI13" i="1"/>
  <c r="DI15" i="1"/>
  <c r="DM12" i="1"/>
  <c r="AC13" i="1"/>
  <c r="AO13" i="1"/>
  <c r="CI13" i="1"/>
  <c r="AC15" i="1"/>
  <c r="AO15" i="1"/>
  <c r="CI15" i="1"/>
  <c r="N19" i="1"/>
  <c r="AF19" i="1"/>
  <c r="AG19" i="1"/>
  <c r="AH19" i="1"/>
  <c r="AI19" i="1"/>
  <c r="AJ19" i="1"/>
  <c r="AK19" i="1"/>
  <c r="AL19" i="1"/>
  <c r="AM19" i="1"/>
  <c r="AN19" i="1"/>
  <c r="AO19" i="1"/>
  <c r="CI19" i="1"/>
  <c r="CJ19" i="1"/>
  <c r="CK19" i="1"/>
  <c r="CL19" i="1"/>
  <c r="CN19" i="1"/>
  <c r="CO19" i="1"/>
  <c r="CP19" i="1"/>
  <c r="CQ19" i="1"/>
  <c r="CR19" i="1"/>
  <c r="CS19" i="1"/>
  <c r="CT19" i="1"/>
  <c r="CU19" i="1"/>
  <c r="CV19" i="1"/>
  <c r="CW19" i="1"/>
  <c r="DB19" i="1"/>
  <c r="DC19" i="1"/>
  <c r="DD19" i="1"/>
  <c r="DE19" i="1"/>
  <c r="N20" i="1"/>
  <c r="P20" i="1"/>
  <c r="AF20" i="1"/>
  <c r="AG20" i="1"/>
  <c r="AH20" i="1"/>
  <c r="AI20" i="1"/>
  <c r="AJ20" i="1"/>
  <c r="AK20" i="1"/>
  <c r="AL20" i="1"/>
  <c r="AM20" i="1"/>
  <c r="AN20" i="1"/>
  <c r="AO20" i="1"/>
  <c r="CI20" i="1"/>
  <c r="CJ20" i="1"/>
  <c r="CK20" i="1"/>
  <c r="CL20" i="1"/>
  <c r="CN20" i="1"/>
  <c r="CO20" i="1"/>
  <c r="CP20" i="1"/>
  <c r="CQ20" i="1"/>
  <c r="CR20" i="1"/>
  <c r="CS20" i="1"/>
  <c r="CT20" i="1"/>
  <c r="CU20" i="1"/>
  <c r="CV20" i="1"/>
  <c r="CW20" i="1"/>
  <c r="DB20" i="1"/>
  <c r="DC20" i="1"/>
  <c r="DD20" i="1"/>
  <c r="DE20" i="1"/>
  <c r="DI20" i="1"/>
  <c r="N21" i="1"/>
  <c r="P21" i="1"/>
  <c r="AF21" i="1"/>
  <c r="AG21" i="1"/>
  <c r="AH21" i="1"/>
  <c r="AI21" i="1"/>
  <c r="AJ21" i="1"/>
  <c r="AK21" i="1"/>
  <c r="AL21" i="1"/>
  <c r="AM21" i="1"/>
  <c r="AN21" i="1"/>
  <c r="AO21" i="1"/>
  <c r="CI21" i="1"/>
  <c r="CJ21" i="1"/>
  <c r="CK21" i="1"/>
  <c r="CL21" i="1"/>
  <c r="CN21" i="1"/>
  <c r="CO21" i="1"/>
  <c r="CP21" i="1"/>
  <c r="CQ21" i="1"/>
  <c r="CR21" i="1"/>
  <c r="CS21" i="1"/>
  <c r="CT21" i="1"/>
  <c r="CU21" i="1"/>
  <c r="CV21" i="1"/>
  <c r="CW21" i="1"/>
  <c r="DB21" i="1"/>
  <c r="DC21" i="1"/>
  <c r="DD21" i="1"/>
  <c r="DE21" i="1"/>
  <c r="DI21" i="1"/>
  <c r="N22" i="1"/>
  <c r="AF22" i="1"/>
  <c r="AG22" i="1"/>
  <c r="AH22" i="1"/>
  <c r="AI22" i="1"/>
  <c r="AJ22" i="1"/>
  <c r="AK22" i="1"/>
  <c r="AL22" i="1"/>
  <c r="AM22" i="1"/>
  <c r="AN22" i="1"/>
  <c r="AO22" i="1"/>
  <c r="CI22" i="1"/>
  <c r="CJ22" i="1"/>
  <c r="CK22" i="1"/>
  <c r="CL22" i="1"/>
  <c r="CN22" i="1"/>
  <c r="CO22" i="1"/>
  <c r="CP22" i="1"/>
  <c r="CQ22" i="1"/>
  <c r="CR22" i="1"/>
  <c r="CS22" i="1"/>
  <c r="CT22" i="1"/>
  <c r="CU22" i="1"/>
  <c r="CV22" i="1"/>
  <c r="CW22" i="1"/>
  <c r="DB22" i="1"/>
  <c r="DC22" i="1"/>
  <c r="DD22" i="1"/>
  <c r="DE22" i="1"/>
  <c r="AF23" i="1"/>
  <c r="AG23" i="1"/>
  <c r="AH23" i="1"/>
  <c r="AI23" i="1"/>
  <c r="AJ23" i="1"/>
  <c r="AK23" i="1"/>
  <c r="AL23" i="1"/>
  <c r="AM23" i="1"/>
  <c r="AN23" i="1"/>
  <c r="AO23" i="1"/>
  <c r="CI23" i="1"/>
  <c r="CJ23" i="1"/>
  <c r="CK23" i="1"/>
  <c r="CL23" i="1"/>
  <c r="CN23" i="1"/>
  <c r="CO23" i="1"/>
  <c r="CP23" i="1"/>
  <c r="CQ23" i="1"/>
  <c r="CR23" i="1"/>
  <c r="CS23" i="1"/>
  <c r="CT23" i="1"/>
  <c r="CU23" i="1"/>
  <c r="CV23" i="1"/>
  <c r="CW23" i="1"/>
  <c r="DB23" i="1"/>
  <c r="DC23" i="1"/>
  <c r="DD23" i="1"/>
  <c r="DE23" i="1"/>
  <c r="N24" i="1"/>
  <c r="AF24" i="1"/>
  <c r="AG24" i="1"/>
  <c r="AH24" i="1"/>
  <c r="AI24" i="1"/>
  <c r="AJ24" i="1"/>
  <c r="AK24" i="1"/>
  <c r="AL24" i="1"/>
  <c r="AM24" i="1"/>
  <c r="AN24" i="1"/>
  <c r="AO24" i="1"/>
  <c r="CI24" i="1"/>
  <c r="CJ24" i="1"/>
  <c r="CK24" i="1"/>
  <c r="CL24" i="1"/>
  <c r="CN24" i="1"/>
  <c r="CO24" i="1"/>
  <c r="CP24" i="1"/>
  <c r="CQ24" i="1"/>
  <c r="CR24" i="1"/>
  <c r="CS24" i="1"/>
  <c r="CT24" i="1"/>
  <c r="CU24" i="1"/>
  <c r="CV24" i="1"/>
  <c r="CW24" i="1"/>
  <c r="DB24" i="1"/>
  <c r="DC24" i="1"/>
  <c r="DD24" i="1"/>
  <c r="DE24" i="1"/>
  <c r="AF25" i="1"/>
  <c r="AG25" i="1"/>
  <c r="AH25" i="1"/>
  <c r="AI25" i="1"/>
  <c r="AJ25" i="1"/>
  <c r="AK25" i="1"/>
  <c r="AL25" i="1"/>
  <c r="AM25" i="1"/>
  <c r="AN25" i="1"/>
  <c r="AO25" i="1"/>
  <c r="CI25" i="1"/>
  <c r="CJ25" i="1"/>
  <c r="CK25" i="1"/>
  <c r="CL25" i="1"/>
  <c r="CN25" i="1"/>
  <c r="CO25" i="1"/>
  <c r="CP25" i="1"/>
  <c r="CQ25" i="1"/>
  <c r="CR25" i="1"/>
  <c r="CS25" i="1"/>
  <c r="CT25" i="1"/>
  <c r="CU25" i="1"/>
  <c r="CV25" i="1"/>
  <c r="CW25" i="1"/>
  <c r="DB25" i="1"/>
  <c r="DC25" i="1"/>
  <c r="DD25" i="1"/>
  <c r="DE25" i="1"/>
  <c r="N26" i="1"/>
  <c r="AF26" i="1"/>
  <c r="AG26" i="1"/>
  <c r="AH26" i="1"/>
  <c r="AI26" i="1"/>
  <c r="AJ26" i="1"/>
  <c r="AK26" i="1"/>
  <c r="AL26" i="1"/>
  <c r="AM26" i="1"/>
  <c r="AN26" i="1"/>
  <c r="AO26" i="1"/>
  <c r="CI26" i="1"/>
  <c r="CJ26" i="1"/>
  <c r="CK26" i="1"/>
  <c r="CL26" i="1"/>
  <c r="CN26" i="1"/>
  <c r="CO26" i="1"/>
  <c r="CP26" i="1"/>
  <c r="CQ26" i="1"/>
  <c r="CR26" i="1"/>
  <c r="CS26" i="1"/>
  <c r="CT26" i="1"/>
  <c r="CU26" i="1"/>
  <c r="CV26" i="1"/>
  <c r="CW26" i="1"/>
  <c r="DB26" i="1"/>
  <c r="DC26" i="1"/>
  <c r="DD26" i="1"/>
  <c r="DE26" i="1"/>
  <c r="AF27" i="1"/>
  <c r="AG27" i="1"/>
  <c r="AH27" i="1"/>
  <c r="AI27" i="1"/>
  <c r="AJ27" i="1"/>
  <c r="AK27" i="1"/>
  <c r="AL27" i="1"/>
  <c r="AM27" i="1"/>
  <c r="AN27" i="1"/>
  <c r="AO27" i="1"/>
  <c r="CI27" i="1"/>
  <c r="CJ27" i="1"/>
  <c r="CK27" i="1"/>
  <c r="CL27" i="1"/>
  <c r="CN27" i="1"/>
  <c r="CO27" i="1"/>
  <c r="CP27" i="1"/>
  <c r="CQ27" i="1"/>
  <c r="CR27" i="1"/>
  <c r="CS27" i="1"/>
  <c r="CT27" i="1"/>
  <c r="CU27" i="1"/>
  <c r="CV27" i="1"/>
  <c r="CW27" i="1"/>
  <c r="DB27" i="1"/>
  <c r="DC27" i="1"/>
  <c r="DD27" i="1"/>
  <c r="DE27" i="1"/>
  <c r="N29" i="1"/>
  <c r="AF29" i="1"/>
  <c r="AG29" i="1"/>
  <c r="AH29" i="1"/>
  <c r="AI29" i="1"/>
  <c r="AJ29" i="1"/>
  <c r="AK29" i="1"/>
  <c r="AL29" i="1"/>
  <c r="AM29" i="1"/>
  <c r="AN29" i="1"/>
  <c r="AO29" i="1"/>
  <c r="CI29" i="1"/>
  <c r="CJ29" i="1"/>
  <c r="CK29" i="1"/>
  <c r="CL29" i="1"/>
  <c r="CN29" i="1"/>
  <c r="CO29" i="1"/>
  <c r="CP29" i="1"/>
  <c r="CQ29" i="1"/>
  <c r="CR29" i="1"/>
  <c r="CS29" i="1"/>
  <c r="CT29" i="1"/>
  <c r="CU29" i="1"/>
  <c r="CV29" i="1"/>
  <c r="CW29" i="1"/>
  <c r="DB29" i="1"/>
  <c r="DC29" i="1"/>
  <c r="DD29" i="1"/>
  <c r="DE29" i="1"/>
  <c r="N30" i="1"/>
  <c r="AF30" i="1"/>
  <c r="AG30" i="1"/>
  <c r="AH30" i="1"/>
  <c r="AI30" i="1"/>
  <c r="AJ30" i="1"/>
  <c r="AK30" i="1"/>
  <c r="AL30" i="1"/>
  <c r="AM30" i="1"/>
  <c r="AN30" i="1"/>
  <c r="AO30" i="1"/>
  <c r="CI30" i="1"/>
  <c r="CJ30" i="1"/>
  <c r="CK30" i="1"/>
  <c r="CL30" i="1"/>
  <c r="CN30" i="1"/>
  <c r="CO30" i="1"/>
  <c r="CP30" i="1"/>
  <c r="CQ30" i="1"/>
  <c r="CR30" i="1"/>
  <c r="CS30" i="1"/>
  <c r="CT30" i="1"/>
  <c r="CU30" i="1"/>
  <c r="CV30" i="1"/>
  <c r="CW30" i="1"/>
  <c r="DB30" i="1"/>
  <c r="DC30" i="1"/>
  <c r="DD30" i="1"/>
  <c r="DE30" i="1"/>
  <c r="N32" i="1"/>
  <c r="AF32" i="1"/>
  <c r="AG32" i="1"/>
  <c r="AH32" i="1"/>
  <c r="AI32" i="1"/>
  <c r="AJ32" i="1"/>
  <c r="AK32" i="1"/>
  <c r="AL32" i="1"/>
  <c r="AM32" i="1"/>
  <c r="AN32" i="1"/>
  <c r="AO32" i="1"/>
  <c r="CI32" i="1"/>
  <c r="CJ32" i="1"/>
  <c r="CK32" i="1"/>
  <c r="CL32" i="1"/>
  <c r="CN32" i="1"/>
  <c r="CO32" i="1"/>
  <c r="CP32" i="1"/>
  <c r="CQ32" i="1"/>
  <c r="CR32" i="1"/>
  <c r="CS32" i="1"/>
  <c r="CT32" i="1"/>
  <c r="CU32" i="1"/>
  <c r="CV32" i="1"/>
  <c r="CW32" i="1"/>
  <c r="DB32" i="1"/>
  <c r="DC32" i="1"/>
  <c r="DD32" i="1"/>
  <c r="DE32" i="1"/>
  <c r="AF33" i="1"/>
  <c r="AG33" i="1"/>
  <c r="AH33" i="1"/>
  <c r="AI33" i="1"/>
  <c r="AJ33" i="1"/>
  <c r="AK33" i="1"/>
  <c r="AL33" i="1"/>
  <c r="AM33" i="1"/>
  <c r="AN33" i="1"/>
  <c r="AO33" i="1"/>
  <c r="CI33" i="1"/>
  <c r="CJ33" i="1"/>
  <c r="CK33" i="1"/>
  <c r="CL33" i="1"/>
  <c r="CN33" i="1"/>
  <c r="CO33" i="1"/>
  <c r="CP33" i="1"/>
  <c r="CQ33" i="1"/>
  <c r="CR33" i="1"/>
  <c r="CS33" i="1"/>
  <c r="CT33" i="1"/>
  <c r="CU33" i="1"/>
  <c r="CV33" i="1"/>
  <c r="CW33" i="1"/>
  <c r="DB33" i="1"/>
  <c r="DC33" i="1"/>
  <c r="DD33" i="1"/>
  <c r="DE33" i="1"/>
  <c r="N36" i="1"/>
  <c r="P36" i="1"/>
  <c r="AF36" i="1"/>
  <c r="AG36" i="1"/>
  <c r="AH36" i="1"/>
  <c r="AI36" i="1"/>
  <c r="AJ36" i="1"/>
  <c r="AK36" i="1"/>
  <c r="AL36" i="1"/>
  <c r="AM36" i="1"/>
  <c r="AN36" i="1"/>
  <c r="AO36" i="1"/>
  <c r="CI36" i="1"/>
  <c r="CJ36" i="1"/>
  <c r="CK36" i="1"/>
  <c r="CL36" i="1"/>
  <c r="CN36" i="1"/>
  <c r="CO36" i="1"/>
  <c r="CP36" i="1"/>
  <c r="CQ36" i="1"/>
  <c r="CR36" i="1"/>
  <c r="CS36" i="1"/>
  <c r="CT36" i="1"/>
  <c r="CU36" i="1"/>
  <c r="CV36" i="1"/>
  <c r="CW36" i="1"/>
  <c r="DB36" i="1"/>
  <c r="DC36" i="1"/>
  <c r="DD36" i="1"/>
  <c r="DE36" i="1"/>
  <c r="N38" i="1"/>
  <c r="AF38" i="1"/>
  <c r="AG38" i="1"/>
  <c r="AH38" i="1"/>
  <c r="AI38" i="1"/>
  <c r="AJ38" i="1"/>
  <c r="AK38" i="1"/>
  <c r="AL38" i="1"/>
  <c r="AM38" i="1"/>
  <c r="AN38" i="1"/>
  <c r="AO38" i="1"/>
  <c r="CI38" i="1"/>
  <c r="CJ38" i="1"/>
  <c r="CK38" i="1"/>
  <c r="CL38" i="1"/>
  <c r="CN38" i="1"/>
  <c r="CO38" i="1"/>
  <c r="CP38" i="1"/>
  <c r="CQ38" i="1"/>
  <c r="CR38" i="1"/>
  <c r="CS38" i="1"/>
  <c r="CT38" i="1"/>
  <c r="CU38" i="1"/>
  <c r="CV38" i="1"/>
  <c r="CW38" i="1"/>
  <c r="DB38" i="1"/>
  <c r="DC38" i="1"/>
  <c r="DD38" i="1"/>
  <c r="DE38" i="1"/>
  <c r="N39" i="1"/>
  <c r="P39" i="1"/>
  <c r="AF39" i="1"/>
  <c r="AG39" i="1"/>
  <c r="AH39" i="1"/>
  <c r="AI39" i="1"/>
  <c r="AJ39" i="1"/>
  <c r="AK39" i="1"/>
  <c r="AL39" i="1"/>
  <c r="AM39" i="1"/>
  <c r="AN39" i="1"/>
  <c r="AO39" i="1"/>
  <c r="CI39" i="1"/>
  <c r="CJ39" i="1"/>
  <c r="CK39" i="1"/>
  <c r="CL39" i="1"/>
  <c r="CN39" i="1"/>
  <c r="CO39" i="1"/>
  <c r="CP39" i="1"/>
  <c r="CQ39" i="1"/>
  <c r="CR39" i="1"/>
  <c r="CS39" i="1"/>
  <c r="CT39" i="1"/>
  <c r="CU39" i="1"/>
  <c r="CV39" i="1"/>
  <c r="CW39" i="1"/>
  <c r="DB39" i="1"/>
  <c r="DC39" i="1"/>
  <c r="DD39" i="1"/>
  <c r="DE39" i="1"/>
  <c r="DI39" i="1"/>
  <c r="N40" i="1"/>
  <c r="P40" i="1"/>
  <c r="AF40" i="1"/>
  <c r="AG40" i="1"/>
  <c r="AH40" i="1"/>
  <c r="AI40" i="1"/>
  <c r="AJ40" i="1"/>
  <c r="AK40" i="1"/>
  <c r="AL40" i="1"/>
  <c r="AM40" i="1"/>
  <c r="AN40" i="1"/>
  <c r="AO40" i="1"/>
  <c r="CI40" i="1"/>
  <c r="CJ40" i="1"/>
  <c r="CK40" i="1"/>
  <c r="CL40" i="1"/>
  <c r="CN40" i="1"/>
  <c r="CO40" i="1"/>
  <c r="CP40" i="1"/>
  <c r="CQ40" i="1"/>
  <c r="CR40" i="1"/>
  <c r="CS40" i="1"/>
  <c r="CT40" i="1"/>
  <c r="CU40" i="1"/>
  <c r="CV40" i="1"/>
  <c r="CW40" i="1"/>
  <c r="DB40" i="1"/>
  <c r="DC40" i="1"/>
  <c r="DD40" i="1"/>
  <c r="DE40" i="1"/>
  <c r="DI40" i="1"/>
  <c r="N41" i="1"/>
  <c r="P41" i="1"/>
  <c r="AF41" i="1"/>
  <c r="AG41" i="1"/>
  <c r="AH41" i="1"/>
  <c r="AI41" i="1"/>
  <c r="AJ41" i="1"/>
  <c r="AK41" i="1"/>
  <c r="AL41" i="1"/>
  <c r="AM41" i="1"/>
  <c r="AN41" i="1"/>
  <c r="AO41" i="1"/>
  <c r="CI41" i="1"/>
  <c r="CJ41" i="1"/>
  <c r="CK41" i="1"/>
  <c r="CL41" i="1"/>
  <c r="CN41" i="1"/>
  <c r="CO41" i="1"/>
  <c r="CP41" i="1"/>
  <c r="CQ41" i="1"/>
  <c r="CR41" i="1"/>
  <c r="CS41" i="1"/>
  <c r="CT41" i="1"/>
  <c r="CU41" i="1"/>
  <c r="CV41" i="1"/>
  <c r="CW41" i="1"/>
  <c r="DB41" i="1"/>
  <c r="DC41" i="1"/>
  <c r="DD41" i="1"/>
  <c r="DE41" i="1"/>
  <c r="N18" i="1"/>
  <c r="AF18" i="1"/>
  <c r="AG18" i="1"/>
  <c r="AH18" i="1"/>
  <c r="AI18" i="1"/>
  <c r="AJ18" i="1"/>
  <c r="AK18" i="1"/>
  <c r="AL18" i="1"/>
  <c r="AM18" i="1"/>
  <c r="AN18" i="1"/>
  <c r="AO18" i="1"/>
  <c r="CI18" i="1"/>
  <c r="CJ18" i="1"/>
  <c r="CK18" i="1"/>
  <c r="CL18" i="1"/>
  <c r="CN18" i="1"/>
  <c r="CO18" i="1"/>
  <c r="CP18" i="1"/>
  <c r="CQ18" i="1"/>
  <c r="CR18" i="1"/>
  <c r="CS18" i="1"/>
  <c r="CT18" i="1"/>
  <c r="CU18" i="1"/>
  <c r="CV18" i="1"/>
  <c r="CW18" i="1"/>
  <c r="DB18" i="1"/>
  <c r="DC18" i="1"/>
  <c r="DD18" i="1"/>
  <c r="DE18" i="1"/>
  <c r="DH18" i="1"/>
  <c r="O4" i="18"/>
  <c r="AC6" i="18"/>
  <c r="U8" i="18"/>
  <c r="V8" i="18"/>
  <c r="W8" i="18"/>
  <c r="X8" i="18"/>
  <c r="Y8" i="18"/>
  <c r="Z8" i="18"/>
  <c r="AA8" i="18"/>
  <c r="AB8" i="18"/>
  <c r="S9" i="18"/>
  <c r="T9" i="18"/>
  <c r="U9" i="18"/>
  <c r="V9" i="18"/>
  <c r="W9" i="18"/>
  <c r="X9" i="18"/>
  <c r="Y9" i="18"/>
  <c r="Z9" i="18"/>
  <c r="AA9" i="18"/>
  <c r="AB9" i="18"/>
  <c r="O10" i="18"/>
  <c r="U10" i="18"/>
  <c r="V10" i="18"/>
  <c r="W10" i="18"/>
  <c r="X10" i="18"/>
  <c r="Y10" i="18"/>
  <c r="Z10" i="18"/>
  <c r="AA10" i="18"/>
  <c r="AB10" i="18"/>
  <c r="O11" i="18"/>
  <c r="S11" i="18"/>
  <c r="T11" i="18"/>
  <c r="U11" i="18"/>
  <c r="V11" i="18"/>
  <c r="W11" i="18"/>
  <c r="X11" i="18"/>
  <c r="Y11" i="18"/>
  <c r="Z11" i="18"/>
  <c r="AA11" i="18"/>
  <c r="AB11" i="18"/>
  <c r="O12" i="18"/>
  <c r="S12" i="18"/>
  <c r="T12" i="18"/>
  <c r="U12" i="18"/>
  <c r="V12" i="18"/>
  <c r="W12" i="18"/>
  <c r="X12" i="18"/>
  <c r="Y12" i="18"/>
  <c r="Z12" i="18"/>
  <c r="AA12" i="18"/>
  <c r="AB12" i="18"/>
  <c r="AC12" i="18"/>
  <c r="AJ12" i="18"/>
  <c r="AK12" i="18"/>
  <c r="AL12" i="18"/>
  <c r="AM12" i="18"/>
  <c r="AN12" i="18"/>
  <c r="AO12" i="18"/>
  <c r="AP12" i="18"/>
  <c r="AQ12" i="18"/>
  <c r="AR12" i="18"/>
  <c r="O13" i="18"/>
  <c r="S13" i="18"/>
  <c r="T13" i="18"/>
  <c r="U13" i="18"/>
  <c r="V13" i="18"/>
  <c r="W13" i="18"/>
  <c r="X13" i="18"/>
  <c r="Y13" i="18"/>
  <c r="Z13" i="18"/>
  <c r="AA13" i="18"/>
  <c r="AB13" i="18"/>
  <c r="AC13" i="18"/>
  <c r="AJ13" i="18"/>
  <c r="AK13" i="18"/>
  <c r="AL13" i="18"/>
  <c r="AM13" i="18"/>
  <c r="AN13" i="18"/>
  <c r="AO13" i="18"/>
  <c r="AP13" i="18"/>
  <c r="AQ13" i="18"/>
  <c r="AR13" i="18"/>
  <c r="O14" i="18"/>
  <c r="S14" i="18"/>
  <c r="T14" i="18"/>
  <c r="U14" i="18"/>
  <c r="V14" i="18"/>
  <c r="W14" i="18"/>
  <c r="X14" i="18"/>
  <c r="Y14" i="18"/>
  <c r="Z14" i="18"/>
  <c r="AA14" i="18"/>
  <c r="AB14" i="18"/>
  <c r="AC14" i="18"/>
  <c r="AJ14" i="18"/>
  <c r="AK14" i="18"/>
  <c r="AL14" i="18"/>
  <c r="AM14" i="18"/>
  <c r="AN14" i="18"/>
  <c r="AO14" i="18"/>
  <c r="AP14" i="18"/>
  <c r="AQ14" i="18"/>
  <c r="AR14" i="18"/>
  <c r="AC15" i="18"/>
  <c r="AD15" i="18"/>
  <c r="AE15" i="18"/>
  <c r="AF15" i="18"/>
  <c r="AG15" i="18"/>
  <c r="AH15" i="18"/>
  <c r="AI15" i="18"/>
  <c r="AJ15" i="18"/>
  <c r="AK15" i="18"/>
  <c r="AL15" i="18"/>
  <c r="AM15" i="18"/>
  <c r="AN15" i="18"/>
  <c r="AO15" i="18"/>
  <c r="AP15" i="18"/>
  <c r="AQ15" i="18"/>
  <c r="AR15" i="18"/>
  <c r="U16" i="18"/>
  <c r="V16" i="18"/>
  <c r="W16" i="18"/>
  <c r="X16" i="18"/>
  <c r="Y16" i="18"/>
  <c r="Z16" i="18"/>
  <c r="AA16" i="18"/>
  <c r="AB16" i="18"/>
  <c r="AC16" i="18"/>
  <c r="AJ16" i="18"/>
  <c r="S17" i="18"/>
  <c r="T17" i="18"/>
  <c r="U17" i="18"/>
  <c r="V17" i="18"/>
  <c r="W17" i="18"/>
  <c r="X17" i="18"/>
  <c r="Y17" i="18"/>
  <c r="Z17" i="18"/>
  <c r="AA17" i="18"/>
  <c r="AB17" i="18"/>
  <c r="AC17" i="18"/>
  <c r="AJ17" i="18"/>
  <c r="S18" i="18"/>
  <c r="T18" i="18"/>
  <c r="U18" i="18"/>
  <c r="V18" i="18"/>
  <c r="W18" i="18"/>
  <c r="X18" i="18"/>
  <c r="Y18" i="18"/>
  <c r="Z18" i="18"/>
  <c r="AA18" i="18"/>
  <c r="AB18" i="18"/>
  <c r="AC18" i="18"/>
  <c r="AJ18" i="18"/>
  <c r="O19" i="18"/>
  <c r="S19" i="18"/>
  <c r="T19" i="18"/>
  <c r="U19" i="18"/>
  <c r="V19" i="18"/>
  <c r="W19" i="18"/>
  <c r="X19" i="18"/>
  <c r="Y19" i="18"/>
  <c r="Z19" i="18"/>
  <c r="AA19" i="18"/>
  <c r="AB19" i="18"/>
  <c r="AC19" i="18"/>
  <c r="AJ19" i="18"/>
  <c r="AK19" i="18"/>
  <c r="AL19" i="18"/>
  <c r="AM19" i="18"/>
  <c r="AN19" i="18"/>
  <c r="AO19" i="18"/>
  <c r="AP19" i="18"/>
  <c r="AQ19" i="18"/>
  <c r="AR19" i="18"/>
  <c r="O20" i="18"/>
  <c r="S20" i="18"/>
  <c r="T20" i="18"/>
  <c r="U20" i="18"/>
  <c r="V20" i="18"/>
  <c r="W20" i="18"/>
  <c r="X20" i="18"/>
  <c r="Y20" i="18"/>
  <c r="Z20" i="18"/>
  <c r="AA20" i="18"/>
  <c r="AB20" i="18"/>
  <c r="AC20" i="18"/>
  <c r="AJ20" i="18"/>
  <c r="AK20" i="18"/>
  <c r="AL20" i="18"/>
  <c r="AM20" i="18"/>
  <c r="AN20" i="18"/>
  <c r="AO20" i="18"/>
  <c r="AP20" i="18"/>
  <c r="AQ20" i="18"/>
  <c r="AR20" i="18"/>
  <c r="O21" i="18"/>
  <c r="S21" i="18"/>
  <c r="T21" i="18"/>
  <c r="U21" i="18"/>
  <c r="V21" i="18"/>
  <c r="W21" i="18"/>
  <c r="X21" i="18"/>
  <c r="Y21" i="18"/>
  <c r="Z21" i="18"/>
  <c r="AA21" i="18"/>
  <c r="AB21" i="18"/>
  <c r="AC21" i="18"/>
  <c r="AJ21" i="18"/>
  <c r="S22" i="18"/>
  <c r="T22" i="18"/>
  <c r="U22" i="18"/>
  <c r="V22" i="18"/>
  <c r="W22" i="18"/>
  <c r="X22" i="18"/>
  <c r="Y22" i="18"/>
  <c r="Z22" i="18"/>
  <c r="AA22" i="18"/>
  <c r="AB22" i="18"/>
  <c r="AC22" i="18"/>
  <c r="AJ22" i="18"/>
  <c r="O23" i="18"/>
  <c r="S23" i="18"/>
  <c r="T23" i="18"/>
  <c r="U23" i="18"/>
  <c r="V23" i="18"/>
  <c r="W23" i="18"/>
  <c r="X23" i="18"/>
  <c r="Y23" i="18"/>
  <c r="Z23" i="18"/>
  <c r="AA23" i="18"/>
  <c r="AB23" i="18"/>
  <c r="AC23" i="18"/>
  <c r="AJ23" i="18"/>
  <c r="S24" i="18"/>
  <c r="T24" i="18"/>
  <c r="U24" i="18"/>
  <c r="V24" i="18"/>
  <c r="W24" i="18"/>
  <c r="X24" i="18"/>
  <c r="Y24" i="18"/>
  <c r="Z24" i="18"/>
  <c r="AA24" i="18"/>
  <c r="AB24" i="18"/>
  <c r="AC24" i="18"/>
  <c r="AJ24" i="18"/>
  <c r="O25" i="18"/>
  <c r="U25" i="18"/>
  <c r="V25" i="18"/>
  <c r="W25" i="18"/>
  <c r="X25" i="18"/>
  <c r="Y25" i="18"/>
  <c r="Z25" i="18"/>
  <c r="AA25" i="18"/>
  <c r="AB25" i="18"/>
  <c r="AC25" i="18"/>
  <c r="AJ25" i="18"/>
  <c r="U26" i="18"/>
  <c r="V26" i="18"/>
  <c r="W26" i="18"/>
  <c r="X26" i="18"/>
  <c r="Y26" i="18"/>
  <c r="Z26" i="18"/>
  <c r="AA26" i="18"/>
  <c r="AB26" i="18"/>
  <c r="AC26" i="18"/>
  <c r="AJ26" i="18"/>
  <c r="U27" i="18"/>
  <c r="V27" i="18"/>
  <c r="W27" i="18"/>
  <c r="X27" i="18"/>
  <c r="Y27" i="18"/>
  <c r="Z27" i="18"/>
  <c r="AA27" i="18"/>
  <c r="AB27" i="18"/>
  <c r="AC27" i="18"/>
  <c r="AJ27" i="18"/>
  <c r="S28" i="18"/>
  <c r="T28" i="18"/>
  <c r="U28" i="18"/>
  <c r="V28" i="18"/>
  <c r="W28" i="18"/>
  <c r="X28" i="18"/>
  <c r="Y28" i="18"/>
  <c r="Z28" i="18"/>
  <c r="AA28" i="18"/>
  <c r="AB28" i="18"/>
  <c r="AC28" i="18"/>
  <c r="AJ28" i="18"/>
  <c r="S29" i="18"/>
  <c r="T29" i="18"/>
  <c r="U29" i="18"/>
  <c r="V29" i="18"/>
  <c r="W29" i="18"/>
  <c r="X29" i="18"/>
  <c r="Y29" i="18"/>
  <c r="Z29" i="18"/>
  <c r="AA29" i="18"/>
  <c r="AB29" i="18"/>
  <c r="AC29" i="18"/>
  <c r="AJ29" i="18"/>
  <c r="O30" i="18"/>
  <c r="S30" i="18"/>
  <c r="T30" i="18"/>
  <c r="U30" i="18"/>
  <c r="V30" i="18"/>
  <c r="W30" i="18"/>
  <c r="X30" i="18"/>
  <c r="Y30" i="18"/>
  <c r="Z30" i="18"/>
  <c r="AA30" i="18"/>
  <c r="AB30" i="18"/>
  <c r="AC30" i="18"/>
  <c r="AJ30" i="18"/>
  <c r="S31" i="18"/>
  <c r="T31" i="18"/>
  <c r="U31" i="18"/>
  <c r="V31" i="18"/>
  <c r="W31" i="18"/>
  <c r="X31" i="18"/>
  <c r="Y31" i="18"/>
  <c r="Z31" i="18"/>
  <c r="AA31" i="18"/>
  <c r="AB31" i="18"/>
  <c r="AC31" i="18"/>
  <c r="AJ31" i="18"/>
  <c r="O32" i="18"/>
  <c r="S32" i="18"/>
  <c r="T32" i="18"/>
  <c r="U32" i="18"/>
  <c r="V32" i="18"/>
  <c r="W32" i="18"/>
  <c r="X32" i="18"/>
  <c r="Y32" i="18"/>
  <c r="Z32" i="18"/>
  <c r="AA32" i="18"/>
  <c r="AB32" i="18"/>
  <c r="AC32" i="18"/>
  <c r="AJ32" i="18"/>
  <c r="AK32" i="18"/>
  <c r="AL32" i="18"/>
  <c r="AM32" i="18"/>
  <c r="AN32" i="18"/>
  <c r="AO32" i="18"/>
  <c r="AP32" i="18"/>
  <c r="AQ32" i="18"/>
  <c r="AR32" i="18"/>
  <c r="O33" i="18"/>
  <c r="S33" i="18"/>
  <c r="T33" i="18"/>
  <c r="U33" i="18"/>
  <c r="V33" i="18"/>
  <c r="W33" i="18"/>
  <c r="X33" i="18"/>
  <c r="Y33" i="18"/>
  <c r="Z33" i="18"/>
  <c r="AA33" i="18"/>
  <c r="AB33" i="18"/>
  <c r="AC33" i="18"/>
  <c r="AJ33" i="18"/>
  <c r="O34" i="18"/>
  <c r="S34" i="18"/>
  <c r="T34" i="18"/>
  <c r="U34" i="18"/>
  <c r="V34" i="18"/>
  <c r="W34" i="18"/>
  <c r="X34" i="18"/>
  <c r="Y34" i="18"/>
  <c r="Z34" i="18"/>
  <c r="AA34" i="18"/>
  <c r="AB34" i="18"/>
  <c r="AC34" i="18"/>
  <c r="AJ34" i="18"/>
  <c r="S35" i="18"/>
  <c r="T35" i="18"/>
  <c r="U35" i="18"/>
  <c r="V35" i="18"/>
  <c r="W35" i="18"/>
  <c r="X35" i="18"/>
  <c r="Y35" i="18"/>
  <c r="Z35" i="18"/>
  <c r="AA35" i="18"/>
  <c r="AB35" i="18"/>
  <c r="AC35" i="18"/>
  <c r="AJ35" i="18"/>
  <c r="AK43" i="18"/>
  <c r="AL43" i="18"/>
  <c r="AM43" i="18"/>
  <c r="AN43" i="18"/>
  <c r="AO43" i="18"/>
  <c r="AP43" i="18"/>
  <c r="AQ43" i="18"/>
  <c r="AR43" i="18"/>
  <c r="Y44" i="18"/>
  <c r="AK44" i="18"/>
  <c r="AL44" i="18"/>
  <c r="AM44" i="18"/>
  <c r="AN44" i="18"/>
  <c r="AO44" i="18"/>
  <c r="AP44" i="18"/>
  <c r="AQ44" i="18"/>
  <c r="AR44" i="18"/>
  <c r="Y45" i="18"/>
  <c r="AK45" i="18"/>
  <c r="AL45" i="18"/>
  <c r="AM45" i="18"/>
  <c r="AN45" i="18"/>
  <c r="AO45" i="18"/>
  <c r="AP45" i="18"/>
  <c r="AQ45" i="18"/>
  <c r="AR45" i="18"/>
  <c r="Y46" i="18"/>
  <c r="AK46" i="18"/>
  <c r="AL46" i="18"/>
  <c r="AM46" i="18"/>
  <c r="AN46" i="18"/>
  <c r="AO46" i="18"/>
  <c r="AP46" i="18"/>
  <c r="AQ46" i="18"/>
  <c r="AR46" i="18"/>
  <c r="Y47" i="18"/>
  <c r="AK47" i="18"/>
  <c r="AL47" i="18"/>
  <c r="AM47" i="18"/>
  <c r="AN47" i="18"/>
  <c r="AO47" i="18"/>
  <c r="AP47" i="18"/>
  <c r="AQ47" i="18"/>
  <c r="AR47" i="18"/>
  <c r="Y48" i="18"/>
  <c r="AK48" i="18"/>
  <c r="AL48" i="18"/>
  <c r="AM48" i="18"/>
  <c r="AN48" i="18"/>
  <c r="AO48" i="18"/>
  <c r="AP48" i="18"/>
  <c r="AQ48" i="18"/>
  <c r="AR48" i="18"/>
  <c r="Y49" i="18"/>
  <c r="AK49" i="18"/>
  <c r="AL49" i="18"/>
  <c r="AM49" i="18"/>
  <c r="AN49" i="18"/>
  <c r="AO49" i="18"/>
  <c r="AP49" i="18"/>
  <c r="AQ49" i="18"/>
  <c r="AR49" i="18"/>
  <c r="Y50" i="18"/>
  <c r="AK50" i="18"/>
  <c r="AL50" i="18"/>
  <c r="AM50" i="18"/>
  <c r="AN50" i="18"/>
  <c r="AO50" i="18"/>
  <c r="AP50" i="18"/>
  <c r="AQ50" i="18"/>
  <c r="AR50" i="18"/>
  <c r="Y51" i="18"/>
  <c r="AK51" i="18"/>
  <c r="AL51" i="18"/>
  <c r="AM51" i="18"/>
  <c r="AN51" i="18"/>
  <c r="AO51" i="18"/>
  <c r="AP51" i="18"/>
  <c r="AQ51" i="18"/>
  <c r="AR51" i="18"/>
  <c r="Y52" i="18"/>
  <c r="AK52" i="18"/>
  <c r="AL52" i="18"/>
  <c r="AM52" i="18"/>
  <c r="AN52" i="18"/>
  <c r="AO52" i="18"/>
  <c r="AP52" i="18"/>
  <c r="AQ52" i="18"/>
  <c r="AR52" i="18"/>
  <c r="AK53" i="18"/>
  <c r="AL53" i="18"/>
  <c r="AM53" i="18"/>
  <c r="AN53" i="18"/>
  <c r="AO53" i="18"/>
  <c r="AP53" i="18"/>
  <c r="AQ53" i="18"/>
  <c r="AR53" i="18"/>
  <c r="Y54" i="18"/>
  <c r="AK54" i="18"/>
  <c r="AL54" i="18"/>
  <c r="AM54" i="18"/>
  <c r="AN54" i="18"/>
  <c r="AO54" i="18"/>
  <c r="AP54" i="18"/>
  <c r="AQ54" i="18"/>
  <c r="AR54" i="18"/>
  <c r="Y55" i="18"/>
  <c r="AK55" i="18"/>
  <c r="AL55" i="18"/>
  <c r="AM55" i="18"/>
  <c r="AN55" i="18"/>
  <c r="AO55" i="18"/>
  <c r="AP55" i="18"/>
  <c r="AQ55" i="18"/>
  <c r="AR55" i="18"/>
  <c r="Y56" i="18"/>
  <c r="W58" i="18"/>
  <c r="CL10" i="9"/>
  <c r="CL11" i="9"/>
  <c r="CL12" i="9"/>
  <c r="E14" i="9"/>
  <c r="F14" i="9"/>
  <c r="G14" i="9"/>
  <c r="H14" i="9"/>
  <c r="I14" i="9"/>
  <c r="J14" i="9"/>
  <c r="K14" i="9"/>
  <c r="L14" i="9"/>
</calcChain>
</file>

<file path=xl/sharedStrings.xml><?xml version="1.0" encoding="utf-8"?>
<sst xmlns="http://schemas.openxmlformats.org/spreadsheetml/2006/main" count="1859" uniqueCount="272">
  <si>
    <t>La</t>
  </si>
  <si>
    <t>Li</t>
  </si>
  <si>
    <t>Lu</t>
  </si>
  <si>
    <t>Mo</t>
  </si>
  <si>
    <t>Nb</t>
  </si>
  <si>
    <t>Nd</t>
  </si>
  <si>
    <t>Ni</t>
  </si>
  <si>
    <t>Pb</t>
  </si>
  <si>
    <t>Pr</t>
  </si>
  <si>
    <t>Rb</t>
  </si>
  <si>
    <t>Sb</t>
  </si>
  <si>
    <t>Sc</t>
  </si>
  <si>
    <t>Sm</t>
  </si>
  <si>
    <t>Sn</t>
  </si>
  <si>
    <t>Sr</t>
  </si>
  <si>
    <t>Ta</t>
  </si>
  <si>
    <t>Tb</t>
  </si>
  <si>
    <t>Th</t>
  </si>
  <si>
    <t>Ti</t>
  </si>
  <si>
    <t>Tl</t>
  </si>
  <si>
    <t>Tm</t>
  </si>
  <si>
    <t>Depth</t>
  </si>
  <si>
    <t>(metres)</t>
  </si>
  <si>
    <t>Sill 2 A</t>
  </si>
  <si>
    <t>Sill 2 B</t>
  </si>
  <si>
    <t>Sample</t>
  </si>
  <si>
    <t>ID</t>
  </si>
  <si>
    <t>Drill</t>
  </si>
  <si>
    <t>Hole</t>
  </si>
  <si>
    <t>Limit of Detection</t>
  </si>
  <si>
    <t>U</t>
  </si>
  <si>
    <t>V</t>
  </si>
  <si>
    <t>W</t>
  </si>
  <si>
    <t>Y</t>
  </si>
  <si>
    <t>Yb</t>
  </si>
  <si>
    <t>Zn</t>
  </si>
  <si>
    <t>Zr</t>
  </si>
  <si>
    <t>&lt;0.15</t>
  </si>
  <si>
    <t>&gt;370</t>
  </si>
  <si>
    <t>&lt;0.013</t>
  </si>
  <si>
    <t>&gt;141</t>
  </si>
  <si>
    <t>&lt;0.08</t>
  </si>
  <si>
    <t>Sum Oxides</t>
  </si>
  <si>
    <t>VF</t>
  </si>
  <si>
    <t>Au</t>
  </si>
  <si>
    <t>Ir</t>
  </si>
  <si>
    <t>Pd</t>
  </si>
  <si>
    <t>Pt</t>
  </si>
  <si>
    <t>Rh</t>
  </si>
  <si>
    <t>Ru</t>
  </si>
  <si>
    <t>ppb</t>
  </si>
  <si>
    <t>MF81A</t>
  </si>
  <si>
    <t>Gabbro</t>
  </si>
  <si>
    <t>MF93</t>
  </si>
  <si>
    <t>Sill 1 Gabbro</t>
  </si>
  <si>
    <t>Sill 2 Gabbro</t>
  </si>
  <si>
    <t>Sill 3 Gabbro</t>
  </si>
  <si>
    <t>Sill 4 Gabbro</t>
  </si>
  <si>
    <t>330.55-330.70</t>
  </si>
  <si>
    <t>345.40-345.45</t>
  </si>
  <si>
    <t>356.00-356.20</t>
  </si>
  <si>
    <t>365.20-365.40</t>
  </si>
  <si>
    <t>368.86-369.00</t>
  </si>
  <si>
    <t>381.30-381.50</t>
  </si>
  <si>
    <t>MF95</t>
  </si>
  <si>
    <t>121.80-121.90</t>
  </si>
  <si>
    <t>123.35-123.50</t>
  </si>
  <si>
    <t>126.40-126.50</t>
  </si>
  <si>
    <t>127.70-127.80</t>
  </si>
  <si>
    <t>Pd (100)</t>
  </si>
  <si>
    <t>Volatile Free and PM values</t>
  </si>
  <si>
    <t xml:space="preserve">Sill 1 </t>
  </si>
  <si>
    <t>Sill 1</t>
  </si>
  <si>
    <t>Sill 2</t>
  </si>
  <si>
    <t>Sill 3</t>
  </si>
  <si>
    <t>Sill 4</t>
  </si>
  <si>
    <t xml:space="preserve">Sill 3 </t>
  </si>
  <si>
    <t>Ni Reward</t>
  </si>
  <si>
    <t>Plotting</t>
  </si>
  <si>
    <t>Sill 5</t>
  </si>
  <si>
    <t>Nb/Th</t>
  </si>
  <si>
    <t>Th/Yb</t>
  </si>
  <si>
    <t>DDH</t>
  </si>
  <si>
    <t>From</t>
  </si>
  <si>
    <t>To</t>
  </si>
  <si>
    <t>Pd (ppb)</t>
  </si>
  <si>
    <t>Pt (ppb)</t>
  </si>
  <si>
    <t>S (wt%)</t>
  </si>
  <si>
    <t>Comparision of Allegiance vs GeoLabs for MF 81A</t>
  </si>
  <si>
    <t>Allegiance</t>
  </si>
  <si>
    <t>Geolabs</t>
  </si>
  <si>
    <t>Au(ppb)</t>
  </si>
  <si>
    <t>Ir (ppb)</t>
  </si>
  <si>
    <t>Average</t>
  </si>
  <si>
    <t>Ni/Pd</t>
  </si>
  <si>
    <t>Cu/Ir</t>
  </si>
  <si>
    <t>Cu/Pd</t>
  </si>
  <si>
    <t>Os</t>
  </si>
  <si>
    <t>PT</t>
  </si>
  <si>
    <t>Prim Mantle</t>
  </si>
  <si>
    <t>Primitive Mantle</t>
  </si>
  <si>
    <t>Ni/Cu</t>
  </si>
  <si>
    <t>Cu (100)</t>
  </si>
  <si>
    <t>Wt%</t>
  </si>
  <si>
    <t>Pd/Ir</t>
  </si>
  <si>
    <t>Metals ikn 100% Sulphides</t>
  </si>
  <si>
    <t>100% Sulphide/CI chondrite</t>
  </si>
  <si>
    <t>Lunnon shoot</t>
  </si>
  <si>
    <t>Katniiq</t>
  </si>
  <si>
    <t>Thompson</t>
  </si>
  <si>
    <t>Kharaelakh (diss)</t>
  </si>
  <si>
    <t>Kharaelakh (mass)</t>
  </si>
  <si>
    <t>Average Ni Reward</t>
  </si>
  <si>
    <t>Platreef (Drenthe-Lower Zone)</t>
  </si>
  <si>
    <t>Victor/Nickel Rim(Sublayer)</t>
  </si>
  <si>
    <t>Victor/Nickel Rim(Mass FW)</t>
  </si>
  <si>
    <t>Victor/Nickel Rim(Cu-rich FW)</t>
  </si>
  <si>
    <t>Merensky Reef (Impala)</t>
  </si>
  <si>
    <t>JM Reef (Minneapolis Adit)</t>
  </si>
  <si>
    <t>Voisey's Bay (mass)</t>
  </si>
  <si>
    <t>Client ID</t>
  </si>
  <si>
    <t>Al2O3</t>
  </si>
  <si>
    <t>CaO</t>
  </si>
  <si>
    <t>Fe2O3</t>
  </si>
  <si>
    <t>K2O</t>
  </si>
  <si>
    <t>LOI</t>
  </si>
  <si>
    <t>MgO</t>
  </si>
  <si>
    <t>MnO</t>
  </si>
  <si>
    <t>Na2O</t>
  </si>
  <si>
    <t>P2O5</t>
  </si>
  <si>
    <t>SiO2</t>
  </si>
  <si>
    <t>TiO2</t>
  </si>
  <si>
    <t>Total</t>
  </si>
  <si>
    <t>Units</t>
  </si>
  <si>
    <t>wt%</t>
  </si>
  <si>
    <t>Detect Limit</t>
  </si>
  <si>
    <t>MF01</t>
  </si>
  <si>
    <t>MF02</t>
  </si>
  <si>
    <t>MF04</t>
  </si>
  <si>
    <t>MF06</t>
  </si>
  <si>
    <t>MF12</t>
  </si>
  <si>
    <t>MF14</t>
  </si>
  <si>
    <t>MF15</t>
  </si>
  <si>
    <t>MF17</t>
  </si>
  <si>
    <t>MF19</t>
  </si>
  <si>
    <t>MF20</t>
  </si>
  <si>
    <t>MF21</t>
  </si>
  <si>
    <t>MF22</t>
  </si>
  <si>
    <t>MF24</t>
  </si>
  <si>
    <t>MF25</t>
  </si>
  <si>
    <t>MF27</t>
  </si>
  <si>
    <t>MF28</t>
  </si>
  <si>
    <t>MF30</t>
  </si>
  <si>
    <t>MF31</t>
  </si>
  <si>
    <t>MF33</t>
  </si>
  <si>
    <t>MF34</t>
  </si>
  <si>
    <t>MF35</t>
  </si>
  <si>
    <t>MF37</t>
  </si>
  <si>
    <t>MF38</t>
  </si>
  <si>
    <t>&lt;0.01</t>
  </si>
  <si>
    <t>CO2</t>
  </si>
  <si>
    <t>S</t>
  </si>
  <si>
    <t>&lt;0.03</t>
  </si>
  <si>
    <t>Se</t>
  </si>
  <si>
    <t>Te</t>
  </si>
  <si>
    <t>ppm</t>
  </si>
  <si>
    <t>&lt;0.4</t>
  </si>
  <si>
    <t>s (ppm)</t>
  </si>
  <si>
    <t>S/Se</t>
  </si>
  <si>
    <t>Ba</t>
  </si>
  <si>
    <t>Be</t>
  </si>
  <si>
    <t>Bi</t>
  </si>
  <si>
    <t>Cd</t>
  </si>
  <si>
    <t>Ce</t>
  </si>
  <si>
    <t>Co</t>
  </si>
  <si>
    <t>Cr</t>
  </si>
  <si>
    <t>Cs</t>
  </si>
  <si>
    <t>Cu</t>
  </si>
  <si>
    <t>Dy</t>
  </si>
  <si>
    <t>Er</t>
  </si>
  <si>
    <t>Eu</t>
  </si>
  <si>
    <t>Ga</t>
  </si>
  <si>
    <t>Gd</t>
  </si>
  <si>
    <t>Hf</t>
  </si>
  <si>
    <t>Ho</t>
  </si>
  <si>
    <t>In</t>
  </si>
  <si>
    <t>3BMS</t>
  </si>
  <si>
    <t>4A-4B</t>
  </si>
  <si>
    <t>2A Leco</t>
  </si>
  <si>
    <t>1DX</t>
  </si>
  <si>
    <t>8TD</t>
  </si>
  <si>
    <t>3B</t>
  </si>
  <si>
    <t>Cr2O3</t>
  </si>
  <si>
    <t>Sum</t>
  </si>
  <si>
    <t>TOT/S</t>
  </si>
  <si>
    <t>Ag</t>
  </si>
  <si>
    <t>As</t>
  </si>
  <si>
    <t>B</t>
  </si>
  <si>
    <t>Hg</t>
  </si>
  <si>
    <t>PPB</t>
  </si>
  <si>
    <t>%</t>
  </si>
  <si>
    <t>PPM</t>
  </si>
  <si>
    <t>2208/950</t>
  </si>
  <si>
    <t>MF-19</t>
  </si>
  <si>
    <t>&gt;10000</t>
  </si>
  <si>
    <t>&lt;1</t>
  </si>
  <si>
    <t>&lt;0.1</t>
  </si>
  <si>
    <t>&lt;0.5</t>
  </si>
  <si>
    <t>&lt;20</t>
  </si>
  <si>
    <t>&gt;100.0</t>
  </si>
  <si>
    <t>2208/951</t>
  </si>
  <si>
    <t>&lt;0.2</t>
  </si>
  <si>
    <t>&lt;0.001</t>
  </si>
  <si>
    <t>N.A.</t>
  </si>
  <si>
    <t>2208/952</t>
  </si>
  <si>
    <t>MF-23</t>
  </si>
  <si>
    <t>2208/953</t>
  </si>
  <si>
    <t>2208/954</t>
  </si>
  <si>
    <t>2208/955</t>
  </si>
  <si>
    <t>2208/956</t>
  </si>
  <si>
    <t>2208/957</t>
  </si>
  <si>
    <t>2208/958</t>
  </si>
  <si>
    <t>2208/959</t>
  </si>
  <si>
    <t>MF-81A</t>
  </si>
  <si>
    <t>2208/960</t>
  </si>
  <si>
    <t>2208/961</t>
  </si>
  <si>
    <t>&lt;0.05</t>
  </si>
  <si>
    <t>2208/962</t>
  </si>
  <si>
    <t>2208/963</t>
  </si>
  <si>
    <t>MF-83</t>
  </si>
  <si>
    <t>2208/964</t>
  </si>
  <si>
    <t>2208/965</t>
  </si>
  <si>
    <t>2208/966</t>
  </si>
  <si>
    <t>MF-93</t>
  </si>
  <si>
    <t>&lt;0.002</t>
  </si>
  <si>
    <t>2208/967</t>
  </si>
  <si>
    <t>2208/968</t>
  </si>
  <si>
    <t>2208/969</t>
  </si>
  <si>
    <t>2208/970</t>
  </si>
  <si>
    <t>A-254</t>
  </si>
  <si>
    <t>2208/971</t>
  </si>
  <si>
    <t>2208/972</t>
  </si>
  <si>
    <t>2208/973</t>
  </si>
  <si>
    <t>A254</t>
  </si>
  <si>
    <t>d</t>
  </si>
  <si>
    <t>Sill #</t>
  </si>
  <si>
    <t>Sill2</t>
  </si>
  <si>
    <t>Gd/Yb</t>
  </si>
  <si>
    <t>Ce/Yb</t>
  </si>
  <si>
    <t>Ni%</t>
  </si>
  <si>
    <t>S%</t>
  </si>
  <si>
    <t>Cu%</t>
  </si>
  <si>
    <t>Co%</t>
  </si>
  <si>
    <t>Zn%As%</t>
  </si>
  <si>
    <t>MORB</t>
  </si>
  <si>
    <t>MF 19 Assays</t>
  </si>
  <si>
    <t>Ni (%)</t>
  </si>
  <si>
    <t>s (%)</t>
  </si>
  <si>
    <t>Cu (%)</t>
  </si>
  <si>
    <t>Au PPM</t>
  </si>
  <si>
    <t>&lt;0.010</t>
  </si>
  <si>
    <t>Ru (ppm)</t>
  </si>
  <si>
    <t>Pt (ppm)</t>
  </si>
  <si>
    <t>Pd (ppm)</t>
  </si>
  <si>
    <t>Ir (ppm)</t>
  </si>
  <si>
    <t>Very strongly altered gabbro that contains large masses of carbonate</t>
  </si>
  <si>
    <t>Not even sure that it is a gabbro.</t>
  </si>
  <si>
    <t>Cu (ppm)</t>
  </si>
  <si>
    <t>Pd ppb</t>
  </si>
  <si>
    <t>S (ppm)</t>
  </si>
  <si>
    <t>Assays</t>
  </si>
  <si>
    <t>Frimitive mantle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</si>
</sst>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0"/>
  </numFmts>
  <fonts count="14" x14ac:knownFonts="1">
    <font>
      <sz val="10"/>
      <name val="Verdana"/>
    </font>
    <font>
      <i/>
      <sz val="10"/>
      <name val="Verdana"/>
    </font>
    <font>
      <sz val="8"/>
      <name val="Verdana"/>
    </font>
    <font>
      <sz val="10"/>
      <color indexed="10"/>
      <name val="Verdana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Verdana"/>
    </font>
    <font>
      <sz val="14"/>
      <name val="Verdana"/>
    </font>
    <font>
      <sz val="12"/>
      <name val="Arial"/>
    </font>
    <font>
      <sz val="14"/>
      <name val="Times"/>
    </font>
    <font>
      <sz val="12"/>
      <color rgb="FF000000"/>
      <name val="Calibri"/>
      <family val="2"/>
    </font>
    <font>
      <u/>
      <sz val="10"/>
      <color theme="10"/>
      <name val="Verdana"/>
    </font>
    <font>
      <u/>
      <sz val="10"/>
      <color theme="11"/>
      <name val="Verdana"/>
    </font>
    <font>
      <sz val="10"/>
      <color rgb="FFFF0000"/>
      <name val="Verdana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16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1">
    <xf numFmtId="0" fontId="0" fillId="0" borderId="0" xfId="0"/>
    <xf numFmtId="1" fontId="0" fillId="0" borderId="0" xfId="0" applyNumberFormat="1"/>
    <xf numFmtId="0" fontId="3" fillId="0" borderId="0" xfId="0" applyFont="1"/>
    <xf numFmtId="2" fontId="0" fillId="0" borderId="0" xfId="0" applyNumberFormat="1"/>
    <xf numFmtId="2" fontId="0" fillId="2" borderId="0" xfId="0" applyNumberFormat="1" applyFill="1"/>
    <xf numFmtId="0" fontId="0" fillId="0" borderId="0" xfId="0" applyFill="1"/>
    <xf numFmtId="0" fontId="4" fillId="0" borderId="0" xfId="0" applyFont="1" applyFill="1"/>
    <xf numFmtId="0" fontId="0" fillId="3" borderId="0" xfId="0" applyFill="1"/>
    <xf numFmtId="0" fontId="0" fillId="2" borderId="0" xfId="0" applyFill="1"/>
    <xf numFmtId="0" fontId="3" fillId="2" borderId="0" xfId="0" applyFont="1" applyFill="1"/>
    <xf numFmtId="1" fontId="0" fillId="2" borderId="0" xfId="0" applyNumberFormat="1" applyFill="1"/>
    <xf numFmtId="0" fontId="4" fillId="2" borderId="0" xfId="0" applyFont="1" applyFill="1"/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right" wrapText="1"/>
    </xf>
    <xf numFmtId="0" fontId="5" fillId="0" borderId="0" xfId="1" applyFont="1" applyBorder="1"/>
    <xf numFmtId="0" fontId="5" fillId="0" borderId="0" xfId="1" applyBorder="1"/>
    <xf numFmtId="0" fontId="6" fillId="0" borderId="0" xfId="0" applyFont="1"/>
    <xf numFmtId="0" fontId="7" fillId="0" borderId="0" xfId="0" applyFont="1"/>
    <xf numFmtId="0" fontId="0" fillId="4" borderId="0" xfId="0" applyFill="1"/>
    <xf numFmtId="0" fontId="4" fillId="4" borderId="0" xfId="0" applyFont="1" applyFill="1"/>
    <xf numFmtId="0" fontId="3" fillId="4" borderId="0" xfId="0" applyFont="1" applyFill="1"/>
    <xf numFmtId="1" fontId="0" fillId="4" borderId="0" xfId="0" applyNumberFormat="1" applyFill="1"/>
    <xf numFmtId="0" fontId="8" fillId="0" borderId="0" xfId="0" applyFont="1"/>
    <xf numFmtId="2" fontId="0" fillId="0" borderId="0" xfId="0" applyNumberFormat="1" applyFill="1"/>
    <xf numFmtId="2" fontId="0" fillId="3" borderId="0" xfId="0" applyNumberFormat="1" applyFill="1"/>
    <xf numFmtId="0" fontId="0" fillId="5" borderId="0" xfId="0" applyFill="1"/>
    <xf numFmtId="0" fontId="3" fillId="5" borderId="0" xfId="0" applyFont="1" applyFill="1"/>
    <xf numFmtId="1" fontId="0" fillId="5" borderId="0" xfId="0" applyNumberFormat="1" applyFill="1"/>
    <xf numFmtId="2" fontId="0" fillId="5" borderId="0" xfId="0" applyNumberFormat="1" applyFill="1"/>
    <xf numFmtId="0" fontId="4" fillId="5" borderId="0" xfId="0" applyFont="1" applyFill="1"/>
    <xf numFmtId="1" fontId="6" fillId="3" borderId="0" xfId="0" applyNumberFormat="1" applyFont="1" applyFill="1"/>
    <xf numFmtId="1" fontId="0" fillId="0" borderId="0" xfId="0" applyNumberFormat="1" applyFill="1"/>
    <xf numFmtId="1" fontId="7" fillId="3" borderId="0" xfId="0" applyNumberFormat="1" applyFont="1" applyFill="1"/>
    <xf numFmtId="0" fontId="0" fillId="6" borderId="0" xfId="0" applyFill="1"/>
    <xf numFmtId="1" fontId="0" fillId="6" borderId="0" xfId="0" applyNumberFormat="1" applyFill="1"/>
    <xf numFmtId="2" fontId="0" fillId="6" borderId="0" xfId="0" applyNumberFormat="1" applyFill="1"/>
    <xf numFmtId="0" fontId="9" fillId="0" borderId="0" xfId="0" applyFont="1"/>
    <xf numFmtId="2" fontId="9" fillId="0" borderId="0" xfId="0" applyNumberFormat="1" applyFont="1"/>
    <xf numFmtId="3" fontId="9" fillId="0" borderId="0" xfId="0" applyNumberFormat="1" applyFont="1"/>
    <xf numFmtId="0" fontId="1" fillId="0" borderId="0" xfId="0" applyFont="1"/>
    <xf numFmtId="0" fontId="3" fillId="3" borderId="0" xfId="0" applyFont="1" applyFill="1"/>
    <xf numFmtId="1" fontId="0" fillId="3" borderId="0" xfId="0" applyNumberFormat="1" applyFill="1"/>
    <xf numFmtId="0" fontId="3" fillId="6" borderId="0" xfId="0" applyFont="1" applyFill="1"/>
    <xf numFmtId="0" fontId="3" fillId="0" borderId="0" xfId="0" applyFont="1" applyFill="1"/>
    <xf numFmtId="2" fontId="0" fillId="7" borderId="0" xfId="0" applyNumberFormat="1" applyFill="1"/>
    <xf numFmtId="0" fontId="0" fillId="8" borderId="0" xfId="0" applyFill="1"/>
    <xf numFmtId="1" fontId="0" fillId="8" borderId="0" xfId="0" applyNumberFormat="1" applyFill="1"/>
    <xf numFmtId="2" fontId="0" fillId="8" borderId="0" xfId="0" applyNumberFormat="1" applyFill="1"/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0" fontId="10" fillId="0" borderId="0" xfId="0" applyFont="1"/>
    <xf numFmtId="0" fontId="0" fillId="9" borderId="0" xfId="0" applyFill="1"/>
    <xf numFmtId="1" fontId="0" fillId="9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/>
    <xf numFmtId="0" fontId="0" fillId="0" borderId="0" xfId="0" applyAlignment="1">
      <alignment horizontal="right"/>
    </xf>
    <xf numFmtId="164" fontId="0" fillId="0" borderId="0" xfId="0" applyNumberFormat="1"/>
    <xf numFmtId="0" fontId="0" fillId="10" borderId="0" xfId="0" applyFill="1"/>
    <xf numFmtId="0" fontId="10" fillId="10" borderId="0" xfId="0" applyFont="1" applyFill="1"/>
    <xf numFmtId="1" fontId="0" fillId="10" borderId="0" xfId="0" applyNumberFormat="1" applyFont="1" applyFill="1" applyBorder="1" applyAlignment="1" applyProtection="1"/>
    <xf numFmtId="164" fontId="0" fillId="10" borderId="0" xfId="0" applyNumberFormat="1" applyFont="1" applyFill="1" applyBorder="1" applyAlignment="1" applyProtection="1"/>
    <xf numFmtId="2" fontId="0" fillId="10" borderId="0" xfId="0" applyNumberFormat="1" applyFont="1" applyFill="1" applyBorder="1" applyAlignment="1" applyProtection="1"/>
    <xf numFmtId="2" fontId="0" fillId="10" borderId="0" xfId="0" applyNumberFormat="1" applyFill="1"/>
    <xf numFmtId="165" fontId="0" fillId="10" borderId="0" xfId="0" applyNumberFormat="1" applyFont="1" applyFill="1" applyBorder="1" applyAlignment="1" applyProtection="1"/>
    <xf numFmtId="166" fontId="0" fillId="10" borderId="0" xfId="0" applyNumberFormat="1" applyFont="1" applyFill="1" applyBorder="1" applyAlignment="1" applyProtection="1"/>
    <xf numFmtId="0" fontId="0" fillId="10" borderId="0" xfId="0" applyNumberFormat="1" applyFont="1" applyFill="1" applyBorder="1" applyAlignment="1" applyProtection="1">
      <alignment horizontal="right"/>
    </xf>
    <xf numFmtId="1" fontId="0" fillId="10" borderId="0" xfId="0" applyNumberFormat="1" applyFill="1"/>
    <xf numFmtId="164" fontId="0" fillId="9" borderId="0" xfId="0" applyNumberFormat="1" applyFill="1"/>
    <xf numFmtId="164" fontId="0" fillId="9" borderId="0" xfId="0" applyNumberFormat="1" applyFont="1" applyFill="1" applyBorder="1" applyAlignment="1" applyProtection="1"/>
    <xf numFmtId="2" fontId="1" fillId="0" borderId="0" xfId="0" applyNumberFormat="1" applyFont="1"/>
    <xf numFmtId="164" fontId="13" fillId="10" borderId="0" xfId="0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164" fontId="13" fillId="0" borderId="0" xfId="0" applyNumberFormat="1" applyFont="1"/>
    <xf numFmtId="2" fontId="13" fillId="0" borderId="0" xfId="0" applyNumberFormat="1" applyFont="1"/>
    <xf numFmtId="2" fontId="13" fillId="10" borderId="0" xfId="0" applyNumberFormat="1" applyFont="1" applyFill="1" applyBorder="1" applyAlignment="1" applyProtection="1"/>
    <xf numFmtId="2" fontId="13" fillId="0" borderId="0" xfId="0" applyNumberFormat="1" applyFont="1" applyFill="1" applyBorder="1" applyAlignment="1" applyProtection="1"/>
    <xf numFmtId="1" fontId="0" fillId="11" borderId="0" xfId="0" applyNumberFormat="1" applyFont="1" applyFill="1" applyBorder="1" applyAlignment="1" applyProtection="1"/>
    <xf numFmtId="0" fontId="0" fillId="11" borderId="0" xfId="0" applyFill="1"/>
    <xf numFmtId="0" fontId="3" fillId="11" borderId="0" xfId="0" applyFont="1" applyFill="1"/>
    <xf numFmtId="0" fontId="13" fillId="0" borderId="0" xfId="0" applyFont="1"/>
    <xf numFmtId="2" fontId="0" fillId="11" borderId="0" xfId="0" applyNumberFormat="1" applyFill="1"/>
    <xf numFmtId="1" fontId="13" fillId="0" borderId="0" xfId="0" applyNumberFormat="1" applyFont="1"/>
    <xf numFmtId="0" fontId="0" fillId="12" borderId="0" xfId="0" applyFill="1"/>
    <xf numFmtId="0" fontId="3" fillId="12" borderId="0" xfId="0" applyFont="1" applyFill="1"/>
    <xf numFmtId="2" fontId="0" fillId="12" borderId="0" xfId="0" applyNumberFormat="1" applyFill="1"/>
    <xf numFmtId="1" fontId="0" fillId="12" borderId="0" xfId="0" applyNumberFormat="1" applyFill="1"/>
    <xf numFmtId="1" fontId="0" fillId="12" borderId="0" xfId="0" applyNumberFormat="1" applyFont="1" applyFill="1" applyBorder="1" applyAlignment="1" applyProtection="1"/>
    <xf numFmtId="164" fontId="0" fillId="12" borderId="0" xfId="0" applyNumberFormat="1" applyFont="1" applyFill="1" applyBorder="1" applyAlignment="1" applyProtection="1"/>
    <xf numFmtId="2" fontId="0" fillId="12" borderId="0" xfId="0" applyNumberFormat="1" applyFont="1" applyFill="1" applyBorder="1" applyAlignment="1" applyProtection="1"/>
    <xf numFmtId="164" fontId="0" fillId="12" borderId="0" xfId="0" applyNumberFormat="1" applyFill="1"/>
    <xf numFmtId="165" fontId="0" fillId="12" borderId="0" xfId="0" applyNumberFormat="1" applyFont="1" applyFill="1" applyBorder="1" applyAlignment="1" applyProtection="1"/>
    <xf numFmtId="166" fontId="0" fillId="12" borderId="0" xfId="0" applyNumberFormat="1" applyFont="1" applyFill="1" applyBorder="1" applyAlignment="1" applyProtection="1"/>
    <xf numFmtId="0" fontId="0" fillId="12" borderId="0" xfId="0" applyNumberFormat="1" applyFont="1" applyFill="1" applyBorder="1" applyAlignment="1" applyProtection="1">
      <alignment horizontal="right"/>
    </xf>
    <xf numFmtId="0" fontId="9" fillId="12" borderId="0" xfId="0" applyFont="1" applyFill="1"/>
    <xf numFmtId="0" fontId="13" fillId="12" borderId="0" xfId="0" applyFont="1" applyFill="1"/>
    <xf numFmtId="0" fontId="10" fillId="12" borderId="0" xfId="0" applyFont="1" applyFill="1"/>
    <xf numFmtId="2" fontId="13" fillId="2" borderId="0" xfId="0" applyNumberFormat="1" applyFont="1" applyFill="1"/>
    <xf numFmtId="1" fontId="13" fillId="2" borderId="0" xfId="0" applyNumberFormat="1" applyFont="1" applyFill="1"/>
    <xf numFmtId="164" fontId="0" fillId="2" borderId="0" xfId="0" applyNumberFormat="1" applyFill="1"/>
    <xf numFmtId="164" fontId="9" fillId="0" borderId="0" xfId="0" applyNumberFormat="1" applyFont="1"/>
    <xf numFmtId="165" fontId="0" fillId="2" borderId="0" xfId="0" applyNumberFormat="1" applyFill="1"/>
    <xf numFmtId="3" fontId="9" fillId="13" borderId="0" xfId="0" applyNumberFormat="1" applyFont="1" applyFill="1"/>
    <xf numFmtId="0" fontId="0" fillId="13" borderId="0" xfId="0" applyFill="1"/>
    <xf numFmtId="0" fontId="9" fillId="13" borderId="0" xfId="0" applyFont="1" applyFill="1"/>
    <xf numFmtId="2" fontId="9" fillId="13" borderId="0" xfId="0" applyNumberFormat="1" applyFont="1" applyFill="1"/>
    <xf numFmtId="164" fontId="0" fillId="13" borderId="0" xfId="0" applyNumberFormat="1" applyFill="1"/>
    <xf numFmtId="0" fontId="0" fillId="14" borderId="0" xfId="0" applyFill="1"/>
    <xf numFmtId="2" fontId="0" fillId="14" borderId="0" xfId="0" applyNumberFormat="1" applyFill="1"/>
    <xf numFmtId="1" fontId="0" fillId="14" borderId="0" xfId="0" applyNumberFormat="1" applyFill="1"/>
    <xf numFmtId="0" fontId="3" fillId="14" borderId="0" xfId="0" applyFont="1" applyFill="1"/>
    <xf numFmtId="164" fontId="0" fillId="14" borderId="0" xfId="0" applyNumberFormat="1" applyFill="1"/>
    <xf numFmtId="1" fontId="0" fillId="14" borderId="0" xfId="0" applyNumberFormat="1" applyFont="1" applyFill="1" applyBorder="1" applyAlignment="1" applyProtection="1"/>
    <xf numFmtId="164" fontId="0" fillId="14" borderId="0" xfId="0" applyNumberFormat="1" applyFont="1" applyFill="1" applyBorder="1" applyAlignment="1" applyProtection="1"/>
    <xf numFmtId="2" fontId="0" fillId="14" borderId="0" xfId="0" applyNumberFormat="1" applyFont="1" applyFill="1" applyBorder="1" applyAlignment="1" applyProtection="1"/>
    <xf numFmtId="165" fontId="0" fillId="14" borderId="0" xfId="0" applyNumberFormat="1" applyFont="1" applyFill="1" applyBorder="1" applyAlignment="1" applyProtection="1"/>
    <xf numFmtId="166" fontId="0" fillId="14" borderId="0" xfId="0" applyNumberFormat="1" applyFont="1" applyFill="1" applyBorder="1" applyAlignment="1" applyProtection="1"/>
    <xf numFmtId="0" fontId="0" fillId="14" borderId="0" xfId="0" applyNumberFormat="1" applyFont="1" applyFill="1" applyBorder="1" applyAlignment="1" applyProtection="1">
      <alignment horizontal="right"/>
    </xf>
  </cellXfs>
  <cellStyles count="3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Normal" xfId="0" builtinId="0"/>
    <cellStyle name="Normal_Sheet1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4" Type="http://schemas.openxmlformats.org/officeDocument/2006/relationships/chartsheet" Target="chartsheets/sheet13.xml"/><Relationship Id="rId15" Type="http://schemas.openxmlformats.org/officeDocument/2006/relationships/chartsheet" Target="chartsheets/sheet14.xml"/><Relationship Id="rId16" Type="http://schemas.openxmlformats.org/officeDocument/2006/relationships/chartsheet" Target="chartsheets/sheet15.xml"/><Relationship Id="rId17" Type="http://schemas.openxmlformats.org/officeDocument/2006/relationships/chartsheet" Target="chartsheets/sheet16.xml"/><Relationship Id="rId18" Type="http://schemas.openxmlformats.org/officeDocument/2006/relationships/chartsheet" Target="chartsheets/sheet17.xml"/><Relationship Id="rId19" Type="http://schemas.openxmlformats.org/officeDocument/2006/relationships/chartsheet" Target="chartsheets/sheet18.xml"/><Relationship Id="rId63" Type="http://schemas.openxmlformats.org/officeDocument/2006/relationships/chartsheet" Target="chartsheets/sheet56.xml"/><Relationship Id="rId64" Type="http://schemas.openxmlformats.org/officeDocument/2006/relationships/worksheet" Target="worksheets/sheet8.xml"/><Relationship Id="rId65" Type="http://schemas.openxmlformats.org/officeDocument/2006/relationships/worksheet" Target="worksheets/sheet9.xml"/><Relationship Id="rId66" Type="http://schemas.openxmlformats.org/officeDocument/2006/relationships/chartsheet" Target="chartsheets/sheet57.xml"/><Relationship Id="rId67" Type="http://schemas.openxmlformats.org/officeDocument/2006/relationships/theme" Target="theme/theme1.xml"/><Relationship Id="rId68" Type="http://schemas.openxmlformats.org/officeDocument/2006/relationships/styles" Target="styles.xml"/><Relationship Id="rId69" Type="http://schemas.openxmlformats.org/officeDocument/2006/relationships/sharedStrings" Target="sharedStrings.xml"/><Relationship Id="rId50" Type="http://schemas.openxmlformats.org/officeDocument/2006/relationships/chartsheet" Target="chartsheets/sheet44.xml"/><Relationship Id="rId51" Type="http://schemas.openxmlformats.org/officeDocument/2006/relationships/chartsheet" Target="chartsheets/sheet45.xml"/><Relationship Id="rId52" Type="http://schemas.openxmlformats.org/officeDocument/2006/relationships/chartsheet" Target="chartsheets/sheet46.xml"/><Relationship Id="rId53" Type="http://schemas.openxmlformats.org/officeDocument/2006/relationships/chartsheet" Target="chartsheets/sheet47.xml"/><Relationship Id="rId54" Type="http://schemas.openxmlformats.org/officeDocument/2006/relationships/chartsheet" Target="chartsheets/sheet48.xml"/><Relationship Id="rId55" Type="http://schemas.openxmlformats.org/officeDocument/2006/relationships/chartsheet" Target="chartsheets/sheet49.xml"/><Relationship Id="rId56" Type="http://schemas.openxmlformats.org/officeDocument/2006/relationships/chartsheet" Target="chartsheets/sheet50.xml"/><Relationship Id="rId57" Type="http://schemas.openxmlformats.org/officeDocument/2006/relationships/chartsheet" Target="chartsheets/sheet51.xml"/><Relationship Id="rId58" Type="http://schemas.openxmlformats.org/officeDocument/2006/relationships/chartsheet" Target="chartsheets/sheet52.xml"/><Relationship Id="rId59" Type="http://schemas.openxmlformats.org/officeDocument/2006/relationships/chartsheet" Target="chartsheets/sheet53.xml"/><Relationship Id="rId40" Type="http://schemas.openxmlformats.org/officeDocument/2006/relationships/chartsheet" Target="chartsheets/sheet36.xml"/><Relationship Id="rId41" Type="http://schemas.openxmlformats.org/officeDocument/2006/relationships/chartsheet" Target="chartsheets/sheet37.xml"/><Relationship Id="rId42" Type="http://schemas.openxmlformats.org/officeDocument/2006/relationships/chartsheet" Target="chartsheets/sheet38.xml"/><Relationship Id="rId43" Type="http://schemas.openxmlformats.org/officeDocument/2006/relationships/chartsheet" Target="chartsheets/sheet39.xml"/><Relationship Id="rId44" Type="http://schemas.openxmlformats.org/officeDocument/2006/relationships/chartsheet" Target="chartsheets/sheet40.xml"/><Relationship Id="rId45" Type="http://schemas.openxmlformats.org/officeDocument/2006/relationships/chartsheet" Target="chartsheets/sheet41.xml"/><Relationship Id="rId46" Type="http://schemas.openxmlformats.org/officeDocument/2006/relationships/chartsheet" Target="chartsheets/sheet42.xml"/><Relationship Id="rId47" Type="http://schemas.openxmlformats.org/officeDocument/2006/relationships/chartsheet" Target="chartsheets/sheet43.xml"/><Relationship Id="rId48" Type="http://schemas.openxmlformats.org/officeDocument/2006/relationships/worksheet" Target="worksheets/sheet5.xml"/><Relationship Id="rId49" Type="http://schemas.openxmlformats.org/officeDocument/2006/relationships/worksheet" Target="worksheets/sheet6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3" Type="http://schemas.openxmlformats.org/officeDocument/2006/relationships/chartsheet" Target="chartsheets/sheet3.xml"/><Relationship Id="rId4" Type="http://schemas.openxmlformats.org/officeDocument/2006/relationships/chartsheet" Target="chartsheets/sheet4.xml"/><Relationship Id="rId5" Type="http://schemas.openxmlformats.org/officeDocument/2006/relationships/chartsheet" Target="chartsheets/sheet5.xml"/><Relationship Id="rId6" Type="http://schemas.openxmlformats.org/officeDocument/2006/relationships/worksheet" Target="worksheets/sheet1.xml"/><Relationship Id="rId7" Type="http://schemas.openxmlformats.org/officeDocument/2006/relationships/chartsheet" Target="chartsheets/sheet6.xml"/><Relationship Id="rId8" Type="http://schemas.openxmlformats.org/officeDocument/2006/relationships/chartsheet" Target="chartsheets/sheet7.xml"/><Relationship Id="rId9" Type="http://schemas.openxmlformats.org/officeDocument/2006/relationships/chartsheet" Target="chartsheets/sheet8.xml"/><Relationship Id="rId30" Type="http://schemas.openxmlformats.org/officeDocument/2006/relationships/chartsheet" Target="chartsheets/sheet26.xml"/><Relationship Id="rId31" Type="http://schemas.openxmlformats.org/officeDocument/2006/relationships/chartsheet" Target="chartsheets/sheet27.xml"/><Relationship Id="rId32" Type="http://schemas.openxmlformats.org/officeDocument/2006/relationships/chartsheet" Target="chartsheets/sheet28.xml"/><Relationship Id="rId33" Type="http://schemas.openxmlformats.org/officeDocument/2006/relationships/chartsheet" Target="chartsheets/sheet29.xml"/><Relationship Id="rId34" Type="http://schemas.openxmlformats.org/officeDocument/2006/relationships/chartsheet" Target="chartsheets/sheet30.xml"/><Relationship Id="rId35" Type="http://schemas.openxmlformats.org/officeDocument/2006/relationships/chartsheet" Target="chartsheets/sheet31.xml"/><Relationship Id="rId36" Type="http://schemas.openxmlformats.org/officeDocument/2006/relationships/chartsheet" Target="chartsheets/sheet32.xml"/><Relationship Id="rId37" Type="http://schemas.openxmlformats.org/officeDocument/2006/relationships/chartsheet" Target="chartsheets/sheet33.xml"/><Relationship Id="rId38" Type="http://schemas.openxmlformats.org/officeDocument/2006/relationships/chartsheet" Target="chartsheets/sheet34.xml"/><Relationship Id="rId39" Type="http://schemas.openxmlformats.org/officeDocument/2006/relationships/chartsheet" Target="chartsheets/sheet35.xml"/><Relationship Id="rId70" Type="http://schemas.openxmlformats.org/officeDocument/2006/relationships/calcChain" Target="calcChain.xml"/><Relationship Id="rId20" Type="http://schemas.openxmlformats.org/officeDocument/2006/relationships/chartsheet" Target="chartsheets/sheet19.xml"/><Relationship Id="rId21" Type="http://schemas.openxmlformats.org/officeDocument/2006/relationships/chartsheet" Target="chartsheets/sheet20.xml"/><Relationship Id="rId22" Type="http://schemas.openxmlformats.org/officeDocument/2006/relationships/chartsheet" Target="chartsheets/sheet21.xml"/><Relationship Id="rId23" Type="http://schemas.openxmlformats.org/officeDocument/2006/relationships/chartsheet" Target="chartsheets/sheet22.xml"/><Relationship Id="rId24" Type="http://schemas.openxmlformats.org/officeDocument/2006/relationships/chartsheet" Target="chartsheets/sheet23.xml"/><Relationship Id="rId25" Type="http://schemas.openxmlformats.org/officeDocument/2006/relationships/worksheet" Target="worksheets/sheet2.xml"/><Relationship Id="rId26" Type="http://schemas.openxmlformats.org/officeDocument/2006/relationships/chartsheet" Target="chartsheets/sheet24.xml"/><Relationship Id="rId27" Type="http://schemas.openxmlformats.org/officeDocument/2006/relationships/worksheet" Target="worksheets/sheet3.xml"/><Relationship Id="rId28" Type="http://schemas.openxmlformats.org/officeDocument/2006/relationships/worksheet" Target="worksheets/sheet4.xml"/><Relationship Id="rId29" Type="http://schemas.openxmlformats.org/officeDocument/2006/relationships/chartsheet" Target="chartsheets/sheet25.xml"/><Relationship Id="rId60" Type="http://schemas.openxmlformats.org/officeDocument/2006/relationships/worksheet" Target="worksheets/sheet7.xml"/><Relationship Id="rId61" Type="http://schemas.openxmlformats.org/officeDocument/2006/relationships/chartsheet" Target="chartsheets/sheet54.xml"/><Relationship Id="rId62" Type="http://schemas.openxmlformats.org/officeDocument/2006/relationships/chartsheet" Target="chartsheets/sheet55.xml"/><Relationship Id="rId10" Type="http://schemas.openxmlformats.org/officeDocument/2006/relationships/chartsheet" Target="chartsheets/sheet9.xml"/><Relationship Id="rId11" Type="http://schemas.openxmlformats.org/officeDocument/2006/relationships/chartsheet" Target="chartsheets/sheet10.xml"/><Relationship Id="rId12" Type="http://schemas.openxmlformats.org/officeDocument/2006/relationships/chartsheet" Target="chartsheets/sheet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MF81A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Data!$P$6:$P$16</c:f>
              <c:numCache>
                <c:formatCode>0</c:formatCode>
                <c:ptCount val="11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  <c:pt idx="10">
                  <c:v>1956.004756242568</c:v>
                </c:pt>
              </c:numCache>
            </c:numRef>
          </c:xVal>
          <c:yVal>
            <c:numRef>
              <c:f>Data!$C$6:$C$16</c:f>
              <c:numCache>
                <c:formatCode>General</c:formatCode>
                <c:ptCount val="11"/>
                <c:pt idx="0">
                  <c:v>163.5</c:v>
                </c:pt>
                <c:pt idx="1">
                  <c:v>164.2</c:v>
                </c:pt>
                <c:pt idx="2">
                  <c:v>167.45</c:v>
                </c:pt>
                <c:pt idx="3">
                  <c:v>169.2</c:v>
                </c:pt>
                <c:pt idx="4">
                  <c:v>170.9</c:v>
                </c:pt>
                <c:pt idx="5">
                  <c:v>171.5</c:v>
                </c:pt>
                <c:pt idx="6">
                  <c:v>174.25</c:v>
                </c:pt>
                <c:pt idx="7">
                  <c:v>174.4</c:v>
                </c:pt>
                <c:pt idx="8">
                  <c:v>174.44</c:v>
                </c:pt>
                <c:pt idx="9">
                  <c:v>174.5</c:v>
                </c:pt>
                <c:pt idx="10">
                  <c:v>174.52</c:v>
                </c:pt>
              </c:numCache>
            </c:numRef>
          </c:yVal>
          <c:smooth val="0"/>
        </c:ser>
        <c:ser>
          <c:idx val="1"/>
          <c:order val="1"/>
          <c:tx>
            <c:v>Mantle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ln>
                <a:solidFill>
                  <a:srgbClr val="008000"/>
                </a:solidFill>
              </a:ln>
            </c:spPr>
          </c:marker>
          <c:dPt>
            <c:idx val="1"/>
            <c:bubble3D val="0"/>
            <c:spPr>
              <a:ln w="635000">
                <a:solidFill>
                  <a:srgbClr val="008000">
                    <a:alpha val="16000"/>
                  </a:srgbClr>
                </a:solidFill>
              </a:ln>
            </c:spPr>
          </c:dPt>
          <c:xVal>
            <c:numRef>
              <c:f>Data!$P$91:$P$92</c:f>
              <c:numCache>
                <c:formatCode>General</c:formatCode>
                <c:ptCount val="2"/>
                <c:pt idx="0">
                  <c:v>2500.0</c:v>
                </c:pt>
                <c:pt idx="1">
                  <c:v>2500.0</c:v>
                </c:pt>
              </c:numCache>
            </c:numRef>
          </c:xVal>
          <c:yVal>
            <c:numRef>
              <c:f>Data!$C$91:$C$92</c:f>
              <c:numCache>
                <c:formatCode>General</c:formatCode>
                <c:ptCount val="2"/>
                <c:pt idx="0">
                  <c:v>160.0</c:v>
                </c:pt>
                <c:pt idx="1">
                  <c:v>180.0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8976328"/>
        <c:axId val="-2078981560"/>
      </c:scatterChart>
      <c:valAx>
        <c:axId val="-207897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8981560"/>
        <c:crosses val="max"/>
        <c:crossBetween val="midCat"/>
      </c:valAx>
      <c:valAx>
        <c:axId val="-2078981560"/>
        <c:scaling>
          <c:orientation val="maxMin"/>
          <c:max val="176.0"/>
          <c:min val="162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8976328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24137931034483"/>
          <c:y val="0.176470588235294"/>
          <c:w val="0.154762964974206"/>
          <c:h val="0.0548774361349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24137931034"/>
          <c:y val="0.149321266968326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MF93-Sill 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Data!$DO$26:$DO$36</c:f>
              <c:numCache>
                <c:formatCode>0.0</c:formatCode>
                <c:ptCount val="11"/>
                <c:pt idx="0">
                  <c:v>1127.348643006263</c:v>
                </c:pt>
                <c:pt idx="1">
                  <c:v>335000.0</c:v>
                </c:pt>
                <c:pt idx="2">
                  <c:v>190000.0</c:v>
                </c:pt>
                <c:pt idx="3">
                  <c:v>443333.3333333333</c:v>
                </c:pt>
                <c:pt idx="4">
                  <c:v>555000.0</c:v>
                </c:pt>
                <c:pt idx="5">
                  <c:v>85000.0</c:v>
                </c:pt>
                <c:pt idx="6">
                  <c:v>106222.2222222222</c:v>
                </c:pt>
                <c:pt idx="7">
                  <c:v>12173.91304347826</c:v>
                </c:pt>
                <c:pt idx="8">
                  <c:v>4062.5</c:v>
                </c:pt>
                <c:pt idx="9">
                  <c:v>6876.55343827672</c:v>
                </c:pt>
                <c:pt idx="10">
                  <c:v>6835.579514824798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ser>
          <c:idx val="1"/>
          <c:order val="1"/>
          <c:tx>
            <c:v>mantle</c:v>
          </c:tx>
          <c:spPr>
            <a:ln w="190500">
              <a:solidFill>
                <a:srgbClr val="0000FF">
                  <a:alpha val="35000"/>
                </a:srgbClr>
              </a:solidFill>
            </a:ln>
          </c:spPr>
          <c:xVal>
            <c:numRef>
              <c:f>Data!$DO$88:$DO$89</c:f>
              <c:numCache>
                <c:formatCode>0.0</c:formatCode>
                <c:ptCount val="2"/>
                <c:pt idx="0">
                  <c:v>7690.0</c:v>
                </c:pt>
                <c:pt idx="1">
                  <c:v>7690.0</c:v>
                </c:pt>
              </c:numCache>
            </c:numRef>
          </c:xVal>
          <c:yVal>
            <c:numRef>
              <c:f>Data!$C$88:$C$89</c:f>
              <c:numCache>
                <c:formatCode>General</c:formatCode>
                <c:ptCount val="2"/>
                <c:pt idx="0">
                  <c:v>300.0</c:v>
                </c:pt>
                <c:pt idx="1">
                  <c:v>400.0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161576"/>
        <c:axId val="-2095121752"/>
      </c:scatterChart>
      <c:valAx>
        <c:axId val="-2095161576"/>
        <c:scaling>
          <c:logBase val="10.0"/>
          <c:orientation val="minMax"/>
          <c:min val="100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Cu/Pd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121752"/>
        <c:crosses val="max"/>
        <c:crossBetween val="midCat"/>
      </c:valAx>
      <c:valAx>
        <c:axId val="-2095121752"/>
        <c:scaling>
          <c:orientation val="maxMin"/>
          <c:max val="390.0"/>
          <c:min val="32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161576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7931034482759"/>
          <c:y val="0.776018099547511"/>
          <c:w val="0.154762964974206"/>
          <c:h val="0.0548774361349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3391257127"/>
          <c:y val="0.0678790038123063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Data!$AX$43:$AX$44</c:f>
              <c:numCache>
                <c:formatCode>0</c:formatCode>
                <c:ptCount val="2"/>
                <c:pt idx="0">
                  <c:v>59800.00000000001</c:v>
                </c:pt>
                <c:pt idx="1">
                  <c:v>66900.0</c:v>
                </c:pt>
              </c:numCache>
            </c:numRef>
          </c:xVal>
          <c:yVal>
            <c:numRef>
              <c:f>Data!$G$43:$G$44</c:f>
              <c:numCache>
                <c:formatCode>0.0</c:formatCode>
                <c:ptCount val="2"/>
                <c:pt idx="0">
                  <c:v>1971.0</c:v>
                </c:pt>
                <c:pt idx="1">
                  <c:v>861.2</c:v>
                </c:pt>
              </c:numCache>
            </c:numRef>
          </c:yVal>
          <c:smooth val="0"/>
        </c:ser>
        <c:ser>
          <c:idx val="11"/>
          <c:order val="1"/>
          <c:tx>
            <c:v>MF-19 assay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'MF-23 Assays'!$F$34:$F$40</c:f>
              <c:numCache>
                <c:formatCode>General</c:formatCode>
                <c:ptCount val="7"/>
                <c:pt idx="0">
                  <c:v>26000.0</c:v>
                </c:pt>
                <c:pt idx="1">
                  <c:v>5900.0</c:v>
                </c:pt>
                <c:pt idx="2">
                  <c:v>1100.0</c:v>
                </c:pt>
                <c:pt idx="3">
                  <c:v>42100.0</c:v>
                </c:pt>
                <c:pt idx="4">
                  <c:v>38100.0</c:v>
                </c:pt>
                <c:pt idx="5">
                  <c:v>800.0</c:v>
                </c:pt>
                <c:pt idx="6">
                  <c:v>35500.0</c:v>
                </c:pt>
              </c:numCache>
            </c:numRef>
          </c:xVal>
          <c:yVal>
            <c:numRef>
              <c:f>'MF-23 Assays'!$M$34:$M$40</c:f>
              <c:numCache>
                <c:formatCode>General</c:formatCode>
                <c:ptCount val="7"/>
                <c:pt idx="0">
                  <c:v>1143.0</c:v>
                </c:pt>
                <c:pt idx="1">
                  <c:v>669.0</c:v>
                </c:pt>
                <c:pt idx="2">
                  <c:v>6.0</c:v>
                </c:pt>
                <c:pt idx="3">
                  <c:v>3574.0</c:v>
                </c:pt>
                <c:pt idx="4">
                  <c:v>1703.0</c:v>
                </c:pt>
                <c:pt idx="5">
                  <c:v>115.0</c:v>
                </c:pt>
                <c:pt idx="6">
                  <c:v>2768.0</c:v>
                </c:pt>
              </c:numCache>
            </c:numRef>
          </c:yVal>
          <c:smooth val="0"/>
        </c:ser>
        <c:ser>
          <c:idx val="5"/>
          <c:order val="2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Data!$AX$57:$AX$59</c:f>
              <c:numCache>
                <c:formatCode>0</c:formatCode>
                <c:ptCount val="3"/>
                <c:pt idx="0">
                  <c:v>15200.0</c:v>
                </c:pt>
                <c:pt idx="1">
                  <c:v>352.1</c:v>
                </c:pt>
                <c:pt idx="2">
                  <c:v>175.0</c:v>
                </c:pt>
              </c:numCache>
            </c:numRef>
          </c:xVal>
          <c:yVal>
            <c:numRef>
              <c:f>Data!$G$57:$G$59</c:f>
              <c:numCache>
                <c:formatCode>0.0</c:formatCode>
                <c:ptCount val="3"/>
                <c:pt idx="0">
                  <c:v>541.2</c:v>
                </c:pt>
                <c:pt idx="1">
                  <c:v>7.8</c:v>
                </c:pt>
                <c:pt idx="2">
                  <c:v>3.3</c:v>
                </c:pt>
              </c:numCache>
            </c:numRef>
          </c:yVal>
          <c:smooth val="0"/>
        </c:ser>
        <c:ser>
          <c:idx val="4"/>
          <c:order val="3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Data!$AX$38:$AX$41</c:f>
              <c:numCache>
                <c:formatCode>General</c:formatCode>
                <c:ptCount val="4"/>
                <c:pt idx="0">
                  <c:v>96.6</c:v>
                </c:pt>
                <c:pt idx="1">
                  <c:v>12103.0</c:v>
                </c:pt>
                <c:pt idx="2">
                  <c:v>5698.0</c:v>
                </c:pt>
                <c:pt idx="3">
                  <c:v>122.7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0"/>
          <c:order val="4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Data!$AX$6:$AX$16</c:f>
              <c:numCache>
                <c:formatCode>General</c:formatCode>
                <c:ptCount val="11"/>
                <c:pt idx="0">
                  <c:v>82.6</c:v>
                </c:pt>
                <c:pt idx="1">
                  <c:v>63.5</c:v>
                </c:pt>
                <c:pt idx="2">
                  <c:v>122.8</c:v>
                </c:pt>
                <c:pt idx="3" formatCode="0.0">
                  <c:v>114.0</c:v>
                </c:pt>
                <c:pt idx="4">
                  <c:v>190.5</c:v>
                </c:pt>
                <c:pt idx="5" formatCode="0.0">
                  <c:v>269.0</c:v>
                </c:pt>
                <c:pt idx="6">
                  <c:v>40000.0</c:v>
                </c:pt>
                <c:pt idx="7">
                  <c:v>37000.0</c:v>
                </c:pt>
                <c:pt idx="8" formatCode="0.0">
                  <c:v>24400.0</c:v>
                </c:pt>
                <c:pt idx="9">
                  <c:v>37000.0</c:v>
                </c:pt>
                <c:pt idx="10" formatCode="0.0">
                  <c:v>37300.0</c:v>
                </c:pt>
              </c:numCache>
            </c:numRef>
          </c:xVal>
          <c:yVal>
            <c:numRef>
              <c:f>Data!$G$6:$G$16</c:f>
              <c:numCache>
                <c:formatCode>General</c:formatCode>
                <c:ptCount val="11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  <c:pt idx="10" formatCode="0.0">
                  <c:v>710.1</c:v>
                </c:pt>
              </c:numCache>
            </c:numRef>
          </c:yVal>
          <c:smooth val="0"/>
        </c:ser>
        <c:ser>
          <c:idx val="6"/>
          <c:order val="5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Data!$AX$46:$AX$47</c:f>
              <c:numCache>
                <c:formatCode>0</c:formatCode>
                <c:ptCount val="2"/>
                <c:pt idx="0">
                  <c:v>388.1</c:v>
                </c:pt>
                <c:pt idx="1">
                  <c:v>149.8</c:v>
                </c:pt>
              </c:numCache>
            </c:numRef>
          </c:xVal>
          <c:yVal>
            <c:numRef>
              <c:f>Data!$G$46:$G$47</c:f>
              <c:numCache>
                <c:formatCode>0.0</c:formatCode>
                <c:ptCount val="2"/>
                <c:pt idx="0">
                  <c:v>6.6</c:v>
                </c:pt>
                <c:pt idx="1">
                  <c:v>1.8</c:v>
                </c:pt>
              </c:numCache>
            </c:numRef>
          </c:yVal>
          <c:smooth val="0"/>
        </c:ser>
        <c:ser>
          <c:idx val="7"/>
          <c:order val="6"/>
          <c:tx>
            <c:v>MF23-Sill 2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Data!$AX$49:$AX$55</c:f>
              <c:numCache>
                <c:formatCode>0</c:formatCode>
                <c:ptCount val="7"/>
                <c:pt idx="0">
                  <c:v>9531.6</c:v>
                </c:pt>
                <c:pt idx="1">
                  <c:v>32900.0</c:v>
                </c:pt>
                <c:pt idx="2">
                  <c:v>5800.0</c:v>
                </c:pt>
                <c:pt idx="3">
                  <c:v>7860.7</c:v>
                </c:pt>
                <c:pt idx="4">
                  <c:v>4500.0</c:v>
                </c:pt>
                <c:pt idx="5">
                  <c:v>58700.0</c:v>
                </c:pt>
                <c:pt idx="6">
                  <c:v>5900.0</c:v>
                </c:pt>
              </c:numCache>
            </c:numRef>
          </c:xVal>
          <c:yVal>
            <c:numRef>
              <c:f>Data!$G$49:$G$55</c:f>
              <c:numCache>
                <c:formatCode>0.0</c:formatCode>
                <c:ptCount val="7"/>
                <c:pt idx="0">
                  <c:v>131.1</c:v>
                </c:pt>
                <c:pt idx="1">
                  <c:v>658.3</c:v>
                </c:pt>
                <c:pt idx="2">
                  <c:v>1361.0</c:v>
                </c:pt>
                <c:pt idx="3">
                  <c:v>310.2</c:v>
                </c:pt>
                <c:pt idx="4">
                  <c:v>188.5</c:v>
                </c:pt>
                <c:pt idx="5">
                  <c:v>482.9</c:v>
                </c:pt>
                <c:pt idx="6">
                  <c:v>230.4</c:v>
                </c:pt>
              </c:numCache>
            </c:numRef>
          </c:yVal>
          <c:smooth val="0"/>
        </c:ser>
        <c:ser>
          <c:idx val="3"/>
          <c:order val="7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Data!$AX$18:$AX$19</c:f>
              <c:numCache>
                <c:formatCode>General</c:formatCode>
                <c:ptCount val="2"/>
                <c:pt idx="0">
                  <c:v>9.8</c:v>
                </c:pt>
                <c:pt idx="1">
                  <c:v>65.4</c:v>
                </c:pt>
              </c:numCache>
            </c:numRef>
          </c:xVal>
          <c:yVal>
            <c:numRef>
              <c:f>Data!$G$18:$G$19</c:f>
              <c:numCache>
                <c:formatCode>General</c:formatCode>
                <c:ptCount val="2"/>
                <c:pt idx="0">
                  <c:v>1.08</c:v>
                </c:pt>
                <c:pt idx="1">
                  <c:v>0.27</c:v>
                </c:pt>
              </c:numCache>
            </c:numRef>
          </c:yVal>
          <c:smooth val="0"/>
        </c:ser>
        <c:ser>
          <c:idx val="9"/>
          <c:order val="8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Data!$AX$20:$AX$22</c:f>
              <c:numCache>
                <c:formatCode>General</c:formatCode>
                <c:ptCount val="3"/>
                <c:pt idx="0">
                  <c:v>3895.0</c:v>
                </c:pt>
                <c:pt idx="1">
                  <c:v>13230.0</c:v>
                </c:pt>
                <c:pt idx="2">
                  <c:v>140.6</c:v>
                </c:pt>
              </c:numCache>
            </c:numRef>
          </c:xVal>
          <c:y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yVal>
          <c:smooth val="0"/>
        </c:ser>
        <c:ser>
          <c:idx val="8"/>
          <c:order val="9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Data!$P$24:$P$25</c:f>
              <c:numCache>
                <c:formatCode>0</c:formatCode>
                <c:ptCount val="2"/>
                <c:pt idx="1">
                  <c:v>6666.666666666666</c:v>
                </c:pt>
              </c:numCache>
            </c:numRef>
          </c:xVal>
          <c:yVal>
            <c:numRef>
              <c:f>Data!$K$24:$K$25</c:f>
              <c:numCache>
                <c:formatCode>General</c:formatCode>
                <c:ptCount val="2"/>
                <c:pt idx="0">
                  <c:v>132.7</c:v>
                </c:pt>
                <c:pt idx="1">
                  <c:v>106.3</c:v>
                </c:pt>
              </c:numCache>
            </c:numRef>
          </c:yVal>
          <c:smooth val="0"/>
        </c:ser>
        <c:ser>
          <c:idx val="10"/>
          <c:order val="10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Data!$AX$26:$AX$36</c:f>
              <c:numCache>
                <c:formatCode>General</c:formatCode>
                <c:ptCount val="11"/>
                <c:pt idx="0">
                  <c:v>5.4</c:v>
                </c:pt>
                <c:pt idx="1">
                  <c:v>40.2</c:v>
                </c:pt>
                <c:pt idx="2" formatCode="0.0">
                  <c:v>266.0</c:v>
                </c:pt>
                <c:pt idx="3">
                  <c:v>53.2</c:v>
                </c:pt>
                <c:pt idx="4">
                  <c:v>66.6</c:v>
                </c:pt>
                <c:pt idx="5" formatCode="0.0">
                  <c:v>85.0</c:v>
                </c:pt>
                <c:pt idx="6">
                  <c:v>47.8</c:v>
                </c:pt>
                <c:pt idx="7">
                  <c:v>2.8</c:v>
                </c:pt>
                <c:pt idx="8" formatCode="0.0">
                  <c:v>247.0</c:v>
                </c:pt>
                <c:pt idx="9" formatCode="0.0">
                  <c:v>830.0</c:v>
                </c:pt>
                <c:pt idx="10">
                  <c:v>507.2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ser>
          <c:idx val="2"/>
          <c:order val="11"/>
          <c:tx>
            <c:v>Line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Data!$K$78:$K$83</c:f>
              <c:numCache>
                <c:formatCode>General</c:formatCode>
                <c:ptCount val="6"/>
                <c:pt idx="1">
                  <c:v>0.1</c:v>
                </c:pt>
                <c:pt idx="2">
                  <c:v>10.0</c:v>
                </c:pt>
                <c:pt idx="3">
                  <c:v>10000.0</c:v>
                </c:pt>
                <c:pt idx="4">
                  <c:v>100000.0</c:v>
                </c:pt>
                <c:pt idx="5">
                  <c:v>1.0E6</c:v>
                </c:pt>
              </c:numCache>
            </c:numRef>
          </c:xVal>
          <c:yVal>
            <c:numRef>
              <c:f>Data!$G$78:$G$83</c:f>
              <c:numCache>
                <c:formatCode>General</c:formatCode>
                <c:ptCount val="6"/>
                <c:pt idx="1">
                  <c:v>0.042</c:v>
                </c:pt>
                <c:pt idx="2">
                  <c:v>0.7</c:v>
                </c:pt>
                <c:pt idx="3">
                  <c:v>50.0</c:v>
                </c:pt>
                <c:pt idx="4">
                  <c:v>210.0</c:v>
                </c:pt>
                <c:pt idx="5">
                  <c:v>800.0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673128"/>
        <c:axId val="-2095679384"/>
      </c:scatterChart>
      <c:valAx>
        <c:axId val="-2095673128"/>
        <c:scaling>
          <c:logBase val="10.0"/>
          <c:orientation val="minMax"/>
          <c:max val="100000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679384"/>
        <c:crossesAt val="0.01"/>
        <c:crossBetween val="midCat"/>
        <c:majorUnit val="10.0"/>
      </c:valAx>
      <c:valAx>
        <c:axId val="-2095679384"/>
        <c:scaling>
          <c:logBase val="10.0"/>
          <c:orientation val="minMax"/>
          <c:min val="0.1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67312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6206896551724"/>
          <c:y val="0.117647058823529"/>
          <c:w val="0.152013575889221"/>
          <c:h val="0.603651797484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Data!$P$43:$P$44</c:f>
              <c:numCache>
                <c:formatCode>General</c:formatCode>
                <c:ptCount val="2"/>
                <c:pt idx="0">
                  <c:v>2026.315789473684</c:v>
                </c:pt>
                <c:pt idx="1">
                  <c:v>2089.55223880597</c:v>
                </c:pt>
              </c:numCache>
            </c:numRef>
          </c:xVal>
          <c:yVal>
            <c:numRef>
              <c:f>Data!$G$43:$G$44</c:f>
              <c:numCache>
                <c:formatCode>0.0</c:formatCode>
                <c:ptCount val="2"/>
                <c:pt idx="0">
                  <c:v>1971.0</c:v>
                </c:pt>
                <c:pt idx="1">
                  <c:v>861.2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Data!$P$57:$P$59</c:f>
              <c:numCache>
                <c:formatCode>General</c:formatCode>
                <c:ptCount val="3"/>
                <c:pt idx="0">
                  <c:v>2388.571428571428</c:v>
                </c:pt>
                <c:pt idx="1">
                  <c:v>2555.555555555555</c:v>
                </c:pt>
                <c:pt idx="2">
                  <c:v>3880.597014925373</c:v>
                </c:pt>
              </c:numCache>
            </c:numRef>
          </c:xVal>
          <c:yVal>
            <c:numRef>
              <c:f>Data!$G$57:$G$59</c:f>
              <c:numCache>
                <c:formatCode>0.0</c:formatCode>
                <c:ptCount val="3"/>
                <c:pt idx="0">
                  <c:v>541.2</c:v>
                </c:pt>
                <c:pt idx="1">
                  <c:v>7.8</c:v>
                </c:pt>
                <c:pt idx="2">
                  <c:v>3.3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Data!$P$6:$P$16</c:f>
              <c:numCache>
                <c:formatCode>0</c:formatCode>
                <c:ptCount val="11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  <c:pt idx="10">
                  <c:v>1956.004756242568</c:v>
                </c:pt>
              </c:numCache>
            </c:numRef>
          </c:xVal>
          <c:yVal>
            <c:numRef>
              <c:f>Data!$G$6:$G$16</c:f>
              <c:numCache>
                <c:formatCode>General</c:formatCode>
                <c:ptCount val="11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  <c:pt idx="10" formatCode="0.0">
                  <c:v>710.1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Data!$P$46:$P$47</c:f>
              <c:numCache>
                <c:formatCode>General</c:formatCode>
                <c:ptCount val="2"/>
                <c:pt idx="0">
                  <c:v>2230.76923076923</c:v>
                </c:pt>
                <c:pt idx="1">
                  <c:v>5304.51866404715</c:v>
                </c:pt>
              </c:numCache>
            </c:numRef>
          </c:xVal>
          <c:yVal>
            <c:numRef>
              <c:f>Data!$G$46:$G$47</c:f>
              <c:numCache>
                <c:formatCode>0.0</c:formatCode>
                <c:ptCount val="2"/>
                <c:pt idx="0">
                  <c:v>6.6</c:v>
                </c:pt>
                <c:pt idx="1">
                  <c:v>1.8</c:v>
                </c:pt>
              </c:numCache>
            </c:numRef>
          </c:yVal>
          <c:smooth val="0"/>
        </c:ser>
        <c:ser>
          <c:idx val="7"/>
          <c:order val="5"/>
          <c:tx>
            <c:v>MF23-Sill 2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Data!$P$49:$P$55</c:f>
              <c:numCache>
                <c:formatCode>General</c:formatCode>
                <c:ptCount val="7"/>
                <c:pt idx="0">
                  <c:v>5217.391304347826</c:v>
                </c:pt>
                <c:pt idx="1">
                  <c:v>2041.420118343195</c:v>
                </c:pt>
                <c:pt idx="2">
                  <c:v>2071.895424836601</c:v>
                </c:pt>
                <c:pt idx="3">
                  <c:v>2305.882352941176</c:v>
                </c:pt>
                <c:pt idx="4">
                  <c:v>4126.58227848101</c:v>
                </c:pt>
                <c:pt idx="5">
                  <c:v>1939.890710382514</c:v>
                </c:pt>
                <c:pt idx="6">
                  <c:v>2409.836065573771</c:v>
                </c:pt>
              </c:numCache>
            </c:numRef>
          </c:xVal>
          <c:yVal>
            <c:numRef>
              <c:f>Data!$G$49:$G$55</c:f>
              <c:numCache>
                <c:formatCode>0.0</c:formatCode>
                <c:ptCount val="7"/>
                <c:pt idx="0">
                  <c:v>131.1</c:v>
                </c:pt>
                <c:pt idx="1">
                  <c:v>658.3</c:v>
                </c:pt>
                <c:pt idx="2">
                  <c:v>1361.0</c:v>
                </c:pt>
                <c:pt idx="3">
                  <c:v>310.2</c:v>
                </c:pt>
                <c:pt idx="4">
                  <c:v>188.5</c:v>
                </c:pt>
                <c:pt idx="5">
                  <c:v>482.9</c:v>
                </c:pt>
                <c:pt idx="6">
                  <c:v>230.4</c:v>
                </c:pt>
              </c:numCache>
            </c:numRef>
          </c:yVal>
          <c:smooth val="0"/>
        </c:ser>
        <c:ser>
          <c:idx val="3"/>
          <c:order val="6"/>
          <c:tx>
            <c:v>MF93-Sill 1</c:v>
          </c:tx>
          <c:spPr>
            <a:ln w="28575">
              <a:noFill/>
            </a:ln>
          </c:spPr>
          <c:marker>
            <c:symbol val="square"/>
            <c:size val="8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Data!$P$18:$P$19</c:f>
              <c:numCache>
                <c:formatCode>0</c:formatCode>
                <c:ptCount val="2"/>
              </c:numCache>
            </c:numRef>
          </c:xVal>
          <c:yVal>
            <c:numRef>
              <c:f>Data!$DH$18:$DH$19</c:f>
              <c:numCache>
                <c:formatCode>0.00</c:formatCode>
                <c:ptCount val="2"/>
                <c:pt idx="0">
                  <c:v>0.169272727272727</c:v>
                </c:pt>
                <c:pt idx="1">
                  <c:v>4.9704</c:v>
                </c:pt>
              </c:numCache>
            </c:numRef>
          </c:yVal>
          <c:smooth val="0"/>
        </c:ser>
        <c:ser>
          <c:idx val="9"/>
          <c:order val="7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Data!$P$20:$P$22</c:f>
              <c:numCache>
                <c:formatCode>0</c:formatCode>
                <c:ptCount val="3"/>
                <c:pt idx="0">
                  <c:v>2206.896551724138</c:v>
                </c:pt>
                <c:pt idx="1">
                  <c:v>2190.635451505017</c:v>
                </c:pt>
              </c:numCache>
            </c:numRef>
          </c:xVal>
          <c:y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yVal>
          <c:smooth val="0"/>
        </c:ser>
        <c:ser>
          <c:idx val="8"/>
          <c:order val="8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Data!$P$24:$P$25</c:f>
              <c:numCache>
                <c:formatCode>0</c:formatCode>
                <c:ptCount val="2"/>
                <c:pt idx="1">
                  <c:v>6666.666666666666</c:v>
                </c:pt>
              </c:numCache>
            </c:numRef>
          </c:xVal>
          <c:yVal>
            <c:numRef>
              <c:f>Data!$G$24:$G$25</c:f>
              <c:numCache>
                <c:formatCode>General</c:formatCode>
                <c:ptCount val="2"/>
                <c:pt idx="0">
                  <c:v>0.99</c:v>
                </c:pt>
                <c:pt idx="1">
                  <c:v>0.73</c:v>
                </c:pt>
              </c:numCache>
            </c:numRef>
          </c:yVal>
          <c:smooth val="0"/>
        </c:ser>
        <c:ser>
          <c:idx val="10"/>
          <c:order val="9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769880"/>
        <c:axId val="-2095777960"/>
      </c:scatterChart>
      <c:valAx>
        <c:axId val="-2095769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777960"/>
        <c:crossesAt val="0.01"/>
        <c:crossBetween val="midCat"/>
        <c:majorUnit val="2000.0"/>
      </c:valAx>
      <c:valAx>
        <c:axId val="-2095777960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769880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206896551724"/>
          <c:y val="0.117647058823529"/>
          <c:w val="0.137433704390572"/>
          <c:h val="0.5491139993240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Data!$P$43:$P$44</c:f>
              <c:numCache>
                <c:formatCode>General</c:formatCode>
                <c:ptCount val="2"/>
                <c:pt idx="0">
                  <c:v>2026.315789473684</c:v>
                </c:pt>
                <c:pt idx="1">
                  <c:v>2089.55223880597</c:v>
                </c:pt>
              </c:numCache>
            </c:numRef>
          </c:xVal>
          <c:yVal>
            <c:numRef>
              <c:f>Data!$DO$43:$DO$44</c:f>
              <c:numCache>
                <c:formatCode>0.0</c:formatCode>
                <c:ptCount val="2"/>
                <c:pt idx="0">
                  <c:v>30339.92897006596</c:v>
                </c:pt>
                <c:pt idx="1">
                  <c:v>77682.30376219228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Data!$P$57:$P$59</c:f>
              <c:numCache>
                <c:formatCode>General</c:formatCode>
                <c:ptCount val="3"/>
                <c:pt idx="0">
                  <c:v>2388.571428571428</c:v>
                </c:pt>
                <c:pt idx="1">
                  <c:v>2555.555555555555</c:v>
                </c:pt>
                <c:pt idx="2">
                  <c:v>3880.597014925373</c:v>
                </c:pt>
              </c:numCache>
            </c:numRef>
          </c:xVal>
          <c:yVal>
            <c:numRef>
              <c:f>Data!$DO$57:$DO$59</c:f>
              <c:numCache>
                <c:formatCode>0.0</c:formatCode>
                <c:ptCount val="3"/>
                <c:pt idx="0">
                  <c:v>28085.73540280857</c:v>
                </c:pt>
                <c:pt idx="1">
                  <c:v>45141.02564102564</c:v>
                </c:pt>
                <c:pt idx="2">
                  <c:v>53030.30303030303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Data!$DO$38:$DO$41</c:f>
              <c:numCache>
                <c:formatCode>0.0</c:formatCode>
                <c:ptCount val="4"/>
                <c:pt idx="0">
                  <c:v>460000.0</c:v>
                </c:pt>
                <c:pt idx="1">
                  <c:v>37586.95652173912</c:v>
                </c:pt>
                <c:pt idx="2">
                  <c:v>99268.29268292683</c:v>
                </c:pt>
                <c:pt idx="3">
                  <c:v>201147.5409836066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Data!$P$6:$P$16</c:f>
              <c:numCache>
                <c:formatCode>0</c:formatCode>
                <c:ptCount val="11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  <c:pt idx="10">
                  <c:v>1956.004756242568</c:v>
                </c:pt>
              </c:numCache>
            </c:numRef>
          </c:xVal>
          <c:yVal>
            <c:numRef>
              <c:f>Data!$DO$6:$DO$16</c:f>
              <c:numCache>
                <c:formatCode>0.0</c:formatCode>
                <c:ptCount val="11"/>
                <c:pt idx="0">
                  <c:v>393333.3333333333</c:v>
                </c:pt>
                <c:pt idx="1">
                  <c:v>244230.7692307692</c:v>
                </c:pt>
                <c:pt idx="2">
                  <c:v>944615.3846153846</c:v>
                </c:pt>
                <c:pt idx="3">
                  <c:v>49565.21739130435</c:v>
                </c:pt>
                <c:pt idx="4">
                  <c:v>46691.17647058824</c:v>
                </c:pt>
                <c:pt idx="6">
                  <c:v>68728.52233676976</c:v>
                </c:pt>
                <c:pt idx="7">
                  <c:v>62394.60370994941</c:v>
                </c:pt>
                <c:pt idx="8">
                  <c:v>7342.76256394824</c:v>
                </c:pt>
                <c:pt idx="9">
                  <c:v>50754.45816186557</c:v>
                </c:pt>
                <c:pt idx="10">
                  <c:v>52527.81298408675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Data!$P$46:$P$47</c:f>
              <c:numCache>
                <c:formatCode>General</c:formatCode>
                <c:ptCount val="2"/>
                <c:pt idx="0">
                  <c:v>2230.76923076923</c:v>
                </c:pt>
                <c:pt idx="1">
                  <c:v>5304.51866404715</c:v>
                </c:pt>
              </c:numCache>
            </c:numRef>
          </c:xVal>
          <c:yVal>
            <c:numRef>
              <c:f>Data!$DO$46:$DO$47</c:f>
              <c:numCache>
                <c:formatCode>0.0</c:formatCode>
                <c:ptCount val="2"/>
                <c:pt idx="0">
                  <c:v>58803.0303030303</c:v>
                </c:pt>
                <c:pt idx="1">
                  <c:v>83222.22222222222</c:v>
                </c:pt>
              </c:numCache>
            </c:numRef>
          </c:yVal>
          <c:smooth val="0"/>
        </c:ser>
        <c:ser>
          <c:idx val="7"/>
          <c:order val="5"/>
          <c:tx>
            <c:v>MF23-Sill 2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Data!$P$49:$P$55</c:f>
              <c:numCache>
                <c:formatCode>General</c:formatCode>
                <c:ptCount val="7"/>
                <c:pt idx="0">
                  <c:v>5217.391304347826</c:v>
                </c:pt>
                <c:pt idx="1">
                  <c:v>2041.420118343195</c:v>
                </c:pt>
                <c:pt idx="2">
                  <c:v>2071.895424836601</c:v>
                </c:pt>
                <c:pt idx="3">
                  <c:v>2305.882352941176</c:v>
                </c:pt>
                <c:pt idx="4">
                  <c:v>4126.58227848101</c:v>
                </c:pt>
                <c:pt idx="5">
                  <c:v>1939.890710382514</c:v>
                </c:pt>
                <c:pt idx="6">
                  <c:v>2409.836065573771</c:v>
                </c:pt>
              </c:numCache>
            </c:numRef>
          </c:xVal>
          <c:yVal>
            <c:numRef>
              <c:f>Data!$DO$49:$DO$55</c:f>
              <c:numCache>
                <c:formatCode>0.0</c:formatCode>
                <c:ptCount val="7"/>
                <c:pt idx="0">
                  <c:v>72704.80549199084</c:v>
                </c:pt>
                <c:pt idx="1">
                  <c:v>49977.21403615373</c:v>
                </c:pt>
                <c:pt idx="2">
                  <c:v>4261.57237325496</c:v>
                </c:pt>
                <c:pt idx="3">
                  <c:v>25340.7479045777</c:v>
                </c:pt>
                <c:pt idx="4">
                  <c:v>23872.67904509284</c:v>
                </c:pt>
                <c:pt idx="5">
                  <c:v>121557.2582315179</c:v>
                </c:pt>
                <c:pt idx="6">
                  <c:v>25607.63888888889</c:v>
                </c:pt>
              </c:numCache>
            </c:numRef>
          </c:yVal>
          <c:smooth val="0"/>
        </c:ser>
        <c:ser>
          <c:idx val="3"/>
          <c:order val="6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Data!$P$18:$P$19</c:f>
              <c:numCache>
                <c:formatCode>0</c:formatCode>
                <c:ptCount val="2"/>
              </c:numCache>
            </c:numRef>
          </c:xVal>
          <c:yVal>
            <c:numRef>
              <c:f>Data!$DH$18:$DH$19</c:f>
              <c:numCache>
                <c:formatCode>0.00</c:formatCode>
                <c:ptCount val="2"/>
                <c:pt idx="0">
                  <c:v>0.169272727272727</c:v>
                </c:pt>
                <c:pt idx="1">
                  <c:v>4.9704</c:v>
                </c:pt>
              </c:numCache>
            </c:numRef>
          </c:yVal>
          <c:smooth val="0"/>
        </c:ser>
        <c:ser>
          <c:idx val="9"/>
          <c:order val="7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Data!$P$20:$P$22</c:f>
              <c:numCache>
                <c:formatCode>0</c:formatCode>
                <c:ptCount val="3"/>
                <c:pt idx="0">
                  <c:v>2206.896551724138</c:v>
                </c:pt>
                <c:pt idx="1">
                  <c:v>2190.635451505017</c:v>
                </c:pt>
              </c:numCache>
            </c:numRef>
          </c:xVal>
          <c:yVal>
            <c:numRef>
              <c:f>Data!$DO$20:$DO$22</c:f>
              <c:numCache>
                <c:formatCode>0.0</c:formatCode>
                <c:ptCount val="3"/>
                <c:pt idx="0">
                  <c:v>29732.82442748091</c:v>
                </c:pt>
                <c:pt idx="1">
                  <c:v>21168.0</c:v>
                </c:pt>
                <c:pt idx="2">
                  <c:v>114308.9430894309</c:v>
                </c:pt>
              </c:numCache>
            </c:numRef>
          </c:yVal>
          <c:smooth val="0"/>
        </c:ser>
        <c:ser>
          <c:idx val="8"/>
          <c:order val="8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Data!$P$24:$P$25</c:f>
              <c:numCache>
                <c:formatCode>0</c:formatCode>
                <c:ptCount val="2"/>
                <c:pt idx="1">
                  <c:v>6666.666666666666</c:v>
                </c:pt>
              </c:numCache>
            </c:numRef>
          </c:xVal>
          <c:yVal>
            <c:numRef>
              <c:f>Data!$DO$24:$DO$25</c:f>
              <c:numCache>
                <c:formatCode>0.0</c:formatCode>
                <c:ptCount val="2"/>
                <c:pt idx="0">
                  <c:v>134040.404040404</c:v>
                </c:pt>
                <c:pt idx="1">
                  <c:v>145616.4383561644</c:v>
                </c:pt>
              </c:numCache>
            </c:numRef>
          </c:yVal>
          <c:smooth val="0"/>
        </c:ser>
        <c:ser>
          <c:idx val="10"/>
          <c:order val="9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Data!$DO$26:$DO$36</c:f>
              <c:numCache>
                <c:formatCode>0.0</c:formatCode>
                <c:ptCount val="11"/>
                <c:pt idx="0">
                  <c:v>1127.348643006263</c:v>
                </c:pt>
                <c:pt idx="1">
                  <c:v>335000.0</c:v>
                </c:pt>
                <c:pt idx="2">
                  <c:v>190000.0</c:v>
                </c:pt>
                <c:pt idx="3">
                  <c:v>443333.3333333333</c:v>
                </c:pt>
                <c:pt idx="4">
                  <c:v>555000.0</c:v>
                </c:pt>
                <c:pt idx="5">
                  <c:v>85000.0</c:v>
                </c:pt>
                <c:pt idx="6">
                  <c:v>106222.2222222222</c:v>
                </c:pt>
                <c:pt idx="7">
                  <c:v>12173.91304347826</c:v>
                </c:pt>
                <c:pt idx="8">
                  <c:v>4062.5</c:v>
                </c:pt>
                <c:pt idx="9">
                  <c:v>6876.55343827672</c:v>
                </c:pt>
                <c:pt idx="10">
                  <c:v>6835.579514824798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857784"/>
        <c:axId val="-2095865800"/>
      </c:scatterChart>
      <c:valAx>
        <c:axId val="-2095857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865800"/>
        <c:crossesAt val="0.01"/>
        <c:crossBetween val="midCat"/>
        <c:majorUnit val="2000.0"/>
      </c:valAx>
      <c:valAx>
        <c:axId val="-2095865800"/>
        <c:scaling>
          <c:logBase val="10.0"/>
          <c:orientation val="minMax"/>
          <c:min val="100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Cu/Pd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85778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206896551724"/>
          <c:y val="0.117647058823529"/>
          <c:w val="0.137433704390572"/>
          <c:h val="0.5491139993240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Data!$P$43:$P$44</c:f>
              <c:numCache>
                <c:formatCode>General</c:formatCode>
                <c:ptCount val="2"/>
                <c:pt idx="0">
                  <c:v>2026.315789473684</c:v>
                </c:pt>
                <c:pt idx="1">
                  <c:v>2089.55223880597</c:v>
                </c:pt>
              </c:numCache>
            </c:numRef>
          </c:xVal>
          <c:yVal>
            <c:numRef>
              <c:f>Data!$K$43:$K$44</c:f>
              <c:numCache>
                <c:formatCode>0</c:formatCode>
                <c:ptCount val="2"/>
                <c:pt idx="0">
                  <c:v>59800.00000000001</c:v>
                </c:pt>
                <c:pt idx="1">
                  <c:v>66900.0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Data!$P$57:$P$59</c:f>
              <c:numCache>
                <c:formatCode>General</c:formatCode>
                <c:ptCount val="3"/>
                <c:pt idx="0">
                  <c:v>2388.571428571428</c:v>
                </c:pt>
                <c:pt idx="1">
                  <c:v>2555.555555555555</c:v>
                </c:pt>
                <c:pt idx="2">
                  <c:v>3880.597014925373</c:v>
                </c:pt>
              </c:numCache>
            </c:numRef>
          </c:xVal>
          <c:yVal>
            <c:numRef>
              <c:f>Data!$K$57:$K$59</c:f>
              <c:numCache>
                <c:formatCode>0</c:formatCode>
                <c:ptCount val="3"/>
                <c:pt idx="0">
                  <c:v>15200.0</c:v>
                </c:pt>
                <c:pt idx="1">
                  <c:v>352.1</c:v>
                </c:pt>
                <c:pt idx="2">
                  <c:v>175.0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Data!$K$38:$K$41</c:f>
              <c:numCache>
                <c:formatCode>General</c:formatCode>
                <c:ptCount val="4"/>
                <c:pt idx="0">
                  <c:v>96.6</c:v>
                </c:pt>
                <c:pt idx="1">
                  <c:v>12103.0</c:v>
                </c:pt>
                <c:pt idx="2">
                  <c:v>5698.0</c:v>
                </c:pt>
                <c:pt idx="3">
                  <c:v>122.7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Data!$P$6:$P$16</c:f>
              <c:numCache>
                <c:formatCode>0</c:formatCode>
                <c:ptCount val="11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  <c:pt idx="10">
                  <c:v>1956.004756242568</c:v>
                </c:pt>
              </c:numCache>
            </c:numRef>
          </c:xVal>
          <c:yVal>
            <c:numRef>
              <c:f>Data!$K$6:$K$16</c:f>
              <c:numCache>
                <c:formatCode>General</c:formatCode>
                <c:ptCount val="11"/>
                <c:pt idx="0">
                  <c:v>82.6</c:v>
                </c:pt>
                <c:pt idx="1">
                  <c:v>63.5</c:v>
                </c:pt>
                <c:pt idx="2">
                  <c:v>122.8</c:v>
                </c:pt>
                <c:pt idx="3" formatCode="0">
                  <c:v>114.3</c:v>
                </c:pt>
                <c:pt idx="4">
                  <c:v>190.5</c:v>
                </c:pt>
                <c:pt idx="5" formatCode="0">
                  <c:v>3268.9</c:v>
                </c:pt>
                <c:pt idx="6">
                  <c:v>40000.0</c:v>
                </c:pt>
                <c:pt idx="7">
                  <c:v>37000.0</c:v>
                </c:pt>
                <c:pt idx="8" formatCode="0">
                  <c:v>24400.0</c:v>
                </c:pt>
                <c:pt idx="9">
                  <c:v>37000.0</c:v>
                </c:pt>
                <c:pt idx="10" formatCode="0">
                  <c:v>37300.0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Data!$P$46:$P$47</c:f>
              <c:numCache>
                <c:formatCode>General</c:formatCode>
                <c:ptCount val="2"/>
                <c:pt idx="0">
                  <c:v>2230.76923076923</c:v>
                </c:pt>
                <c:pt idx="1">
                  <c:v>5304.51866404715</c:v>
                </c:pt>
              </c:numCache>
            </c:numRef>
          </c:xVal>
          <c:yVal>
            <c:numRef>
              <c:f>Data!$K$46:$K$47</c:f>
              <c:numCache>
                <c:formatCode>0</c:formatCode>
                <c:ptCount val="2"/>
                <c:pt idx="0">
                  <c:v>388.1</c:v>
                </c:pt>
                <c:pt idx="1">
                  <c:v>149.8</c:v>
                </c:pt>
              </c:numCache>
            </c:numRef>
          </c:yVal>
          <c:smooth val="0"/>
        </c:ser>
        <c:ser>
          <c:idx val="7"/>
          <c:order val="5"/>
          <c:tx>
            <c:v>MF23-Sill 2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Data!$P$49:$P$55</c:f>
              <c:numCache>
                <c:formatCode>General</c:formatCode>
                <c:ptCount val="7"/>
                <c:pt idx="0">
                  <c:v>5217.391304347826</c:v>
                </c:pt>
                <c:pt idx="1">
                  <c:v>2041.420118343195</c:v>
                </c:pt>
                <c:pt idx="2">
                  <c:v>2071.895424836601</c:v>
                </c:pt>
                <c:pt idx="3">
                  <c:v>2305.882352941176</c:v>
                </c:pt>
                <c:pt idx="4">
                  <c:v>4126.58227848101</c:v>
                </c:pt>
                <c:pt idx="5">
                  <c:v>1939.890710382514</c:v>
                </c:pt>
                <c:pt idx="6">
                  <c:v>2409.836065573771</c:v>
                </c:pt>
              </c:numCache>
            </c:numRef>
          </c:xVal>
          <c:yVal>
            <c:numRef>
              <c:f>Data!$K$49:$K$55</c:f>
              <c:numCache>
                <c:formatCode>0</c:formatCode>
                <c:ptCount val="7"/>
                <c:pt idx="0">
                  <c:v>9531.6</c:v>
                </c:pt>
                <c:pt idx="1">
                  <c:v>32900.0</c:v>
                </c:pt>
                <c:pt idx="2">
                  <c:v>5800.0</c:v>
                </c:pt>
                <c:pt idx="3">
                  <c:v>7860.7</c:v>
                </c:pt>
                <c:pt idx="4">
                  <c:v>4500.0</c:v>
                </c:pt>
                <c:pt idx="5">
                  <c:v>58700.0</c:v>
                </c:pt>
                <c:pt idx="6">
                  <c:v>5900.0</c:v>
                </c:pt>
              </c:numCache>
            </c:numRef>
          </c:yVal>
          <c:smooth val="0"/>
        </c:ser>
        <c:ser>
          <c:idx val="3"/>
          <c:order val="6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Data!$P$18:$P$19</c:f>
              <c:numCache>
                <c:formatCode>0</c:formatCode>
                <c:ptCount val="2"/>
              </c:numCache>
            </c:numRef>
          </c:xVal>
          <c:yVal>
            <c:numRef>
              <c:f>Data!$K$18:$K$19</c:f>
              <c:numCache>
                <c:formatCode>General</c:formatCode>
                <c:ptCount val="2"/>
                <c:pt idx="0">
                  <c:v>9.8</c:v>
                </c:pt>
                <c:pt idx="1">
                  <c:v>65.4</c:v>
                </c:pt>
              </c:numCache>
            </c:numRef>
          </c:yVal>
          <c:smooth val="0"/>
        </c:ser>
        <c:ser>
          <c:idx val="9"/>
          <c:order val="7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Data!$P$20:$P$22</c:f>
              <c:numCache>
                <c:formatCode>0</c:formatCode>
                <c:ptCount val="3"/>
                <c:pt idx="0">
                  <c:v>2206.896551724138</c:v>
                </c:pt>
                <c:pt idx="1">
                  <c:v>2190.635451505017</c:v>
                </c:pt>
              </c:numCache>
            </c:numRef>
          </c:xVal>
          <c:yVal>
            <c:numRef>
              <c:f>Data!$K$20:$K$22</c:f>
              <c:numCache>
                <c:formatCode>General</c:formatCode>
                <c:ptCount val="3"/>
                <c:pt idx="0">
                  <c:v>3895.0</c:v>
                </c:pt>
                <c:pt idx="1">
                  <c:v>13230.0</c:v>
                </c:pt>
                <c:pt idx="2">
                  <c:v>140.6</c:v>
                </c:pt>
              </c:numCache>
            </c:numRef>
          </c:yVal>
          <c:smooth val="0"/>
        </c:ser>
        <c:ser>
          <c:idx val="8"/>
          <c:order val="8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Data!$P$24:$P$25</c:f>
              <c:numCache>
                <c:formatCode>0</c:formatCode>
                <c:ptCount val="2"/>
                <c:pt idx="1">
                  <c:v>6666.666666666666</c:v>
                </c:pt>
              </c:numCache>
            </c:numRef>
          </c:xVal>
          <c:yVal>
            <c:numRef>
              <c:f>Data!$K$24:$K$25</c:f>
              <c:numCache>
                <c:formatCode>General</c:formatCode>
                <c:ptCount val="2"/>
                <c:pt idx="0">
                  <c:v>132.7</c:v>
                </c:pt>
                <c:pt idx="1">
                  <c:v>106.3</c:v>
                </c:pt>
              </c:numCache>
            </c:numRef>
          </c:yVal>
          <c:smooth val="0"/>
        </c:ser>
        <c:ser>
          <c:idx val="10"/>
          <c:order val="9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Data!$K$26:$K$36</c:f>
              <c:numCache>
                <c:formatCode>General</c:formatCode>
                <c:ptCount val="11"/>
                <c:pt idx="0">
                  <c:v>5.4</c:v>
                </c:pt>
                <c:pt idx="1">
                  <c:v>40.2</c:v>
                </c:pt>
                <c:pt idx="2" formatCode="0">
                  <c:v>266.1</c:v>
                </c:pt>
                <c:pt idx="3">
                  <c:v>53.2</c:v>
                </c:pt>
                <c:pt idx="4">
                  <c:v>66.6</c:v>
                </c:pt>
                <c:pt idx="5" formatCode="0">
                  <c:v>85.2</c:v>
                </c:pt>
                <c:pt idx="6">
                  <c:v>47.8</c:v>
                </c:pt>
                <c:pt idx="7">
                  <c:v>2.8</c:v>
                </c:pt>
                <c:pt idx="8" formatCode="0">
                  <c:v>247.2</c:v>
                </c:pt>
                <c:pt idx="9" formatCode="0">
                  <c:v>829.8</c:v>
                </c:pt>
                <c:pt idx="10">
                  <c:v>507.2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944408"/>
        <c:axId val="-2095952488"/>
      </c:scatterChart>
      <c:valAx>
        <c:axId val="-2095944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952488"/>
        <c:crossesAt val="0.01"/>
        <c:crossBetween val="midCat"/>
        <c:majorUnit val="2000.0"/>
      </c:valAx>
      <c:valAx>
        <c:axId val="-2095952488"/>
        <c:scaling>
          <c:logBase val="10.0"/>
          <c:orientation val="minMax"/>
          <c:min val="1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94440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206896551724"/>
          <c:y val="0.117647058823529"/>
          <c:w val="0.137433704390572"/>
          <c:h val="0.5491139993240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49639748161189"/>
          <c:h val="0.789580187125396"/>
        </c:manualLayout>
      </c:layout>
      <c:scatterChart>
        <c:scatterStyle val="lineMarker"/>
        <c:varyColors val="0"/>
        <c:ser>
          <c:idx val="2"/>
          <c:order val="0"/>
          <c:tx>
            <c:v>MF 19 Assays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Data!$BL$65:$BL$74</c:f>
              <c:numCache>
                <c:formatCode>General</c:formatCode>
                <c:ptCount val="10"/>
              </c:numCache>
            </c:numRef>
          </c:xVal>
          <c:yVal>
            <c:numRef>
              <c:f>Data!$K$65:$K$74</c:f>
              <c:numCache>
                <c:formatCode>General</c:formatCode>
                <c:ptCount val="10"/>
                <c:pt idx="0">
                  <c:v>500.0</c:v>
                </c:pt>
                <c:pt idx="1">
                  <c:v>1300.0</c:v>
                </c:pt>
                <c:pt idx="2">
                  <c:v>300.0</c:v>
                </c:pt>
                <c:pt idx="3">
                  <c:v>26000.0</c:v>
                </c:pt>
                <c:pt idx="4">
                  <c:v>5900.0</c:v>
                </c:pt>
                <c:pt idx="5">
                  <c:v>1100.0</c:v>
                </c:pt>
                <c:pt idx="6">
                  <c:v>42100.0</c:v>
                </c:pt>
                <c:pt idx="7">
                  <c:v>38100.0</c:v>
                </c:pt>
                <c:pt idx="8">
                  <c:v>800.0</c:v>
                </c:pt>
                <c:pt idx="9">
                  <c:v>35500.0</c:v>
                </c:pt>
              </c:numCache>
            </c:numRef>
          </c:yVal>
          <c:smooth val="0"/>
        </c:ser>
        <c:ser>
          <c:idx val="1"/>
          <c:order val="1"/>
          <c:tx>
            <c:v>MF19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Data!$BM$43:$BM$44</c:f>
              <c:numCache>
                <c:formatCode>0</c:formatCode>
                <c:ptCount val="2"/>
                <c:pt idx="0">
                  <c:v>59800.00000000001</c:v>
                </c:pt>
                <c:pt idx="1">
                  <c:v>81199.99999999999</c:v>
                </c:pt>
              </c:numCache>
            </c:numRef>
          </c:xVal>
          <c:yVal>
            <c:numRef>
              <c:f>Data!$AX$43:$AX$44</c:f>
              <c:numCache>
                <c:formatCode>0</c:formatCode>
                <c:ptCount val="2"/>
                <c:pt idx="0">
                  <c:v>59800.00000000001</c:v>
                </c:pt>
                <c:pt idx="1">
                  <c:v>66900.0</c:v>
                </c:pt>
              </c:numCache>
            </c:numRef>
          </c:yVal>
          <c:smooth val="0"/>
        </c:ser>
        <c:ser>
          <c:idx val="5"/>
          <c:order val="2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Data!$BM$57:$BM$59</c:f>
              <c:numCache>
                <c:formatCode>0</c:formatCode>
                <c:ptCount val="3"/>
                <c:pt idx="0">
                  <c:v>23200.0</c:v>
                </c:pt>
                <c:pt idx="1">
                  <c:v>678.0</c:v>
                </c:pt>
                <c:pt idx="2">
                  <c:v>750.0</c:v>
                </c:pt>
              </c:numCache>
            </c:numRef>
          </c:xVal>
          <c:yVal>
            <c:numRef>
              <c:f>Data!$AX$57:$AX$59</c:f>
              <c:numCache>
                <c:formatCode>0</c:formatCode>
                <c:ptCount val="3"/>
                <c:pt idx="0">
                  <c:v>15200.0</c:v>
                </c:pt>
                <c:pt idx="1">
                  <c:v>352.1</c:v>
                </c:pt>
                <c:pt idx="2">
                  <c:v>175.0</c:v>
                </c:pt>
              </c:numCache>
            </c:numRef>
          </c:yVal>
          <c:smooth val="0"/>
        </c:ser>
        <c:ser>
          <c:idx val="4"/>
          <c:order val="3"/>
          <c:tx>
            <c:v>MF95</c:v>
          </c:tx>
          <c:spPr>
            <a:ln w="28575">
              <a:noFill/>
            </a:ln>
          </c:spPr>
          <c:marker>
            <c:symbol val="square"/>
            <c:size val="8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Data!$BM$38:$BM$41</c:f>
              <c:numCache>
                <c:formatCode>General</c:formatCode>
                <c:ptCount val="4"/>
                <c:pt idx="0">
                  <c:v>290.8</c:v>
                </c:pt>
                <c:pt idx="1">
                  <c:v>20300.0</c:v>
                </c:pt>
                <c:pt idx="2">
                  <c:v>2102.5</c:v>
                </c:pt>
                <c:pt idx="3">
                  <c:v>395.7</c:v>
                </c:pt>
              </c:numCache>
            </c:numRef>
          </c:xVal>
          <c:yVal>
            <c:numRef>
              <c:f>Data!$AX$38:$AX$41</c:f>
              <c:numCache>
                <c:formatCode>General</c:formatCode>
                <c:ptCount val="4"/>
                <c:pt idx="0">
                  <c:v>96.6</c:v>
                </c:pt>
                <c:pt idx="1">
                  <c:v>12103.0</c:v>
                </c:pt>
                <c:pt idx="2">
                  <c:v>5698.0</c:v>
                </c:pt>
                <c:pt idx="3">
                  <c:v>122.7</c:v>
                </c:pt>
              </c:numCache>
            </c:numRef>
          </c:yVal>
          <c:smooth val="0"/>
        </c:ser>
        <c:ser>
          <c:idx val="0"/>
          <c:order val="4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Data!$BM$6:$BM$16</c:f>
              <c:numCache>
                <c:formatCode>General</c:formatCode>
                <c:ptCount val="11"/>
                <c:pt idx="0">
                  <c:v>238.5</c:v>
                </c:pt>
                <c:pt idx="1">
                  <c:v>288.1</c:v>
                </c:pt>
                <c:pt idx="2">
                  <c:v>142.2</c:v>
                </c:pt>
                <c:pt idx="3" formatCode="0">
                  <c:v>515.0</c:v>
                </c:pt>
                <c:pt idx="4">
                  <c:v>584.7</c:v>
                </c:pt>
                <c:pt idx="5" formatCode="0">
                  <c:v>3308.0</c:v>
                </c:pt>
                <c:pt idx="6">
                  <c:v>10800.0</c:v>
                </c:pt>
                <c:pt idx="7">
                  <c:v>10800.0</c:v>
                </c:pt>
                <c:pt idx="8" formatCode="0">
                  <c:v>144700.0</c:v>
                </c:pt>
                <c:pt idx="9">
                  <c:v>10800.0</c:v>
                </c:pt>
                <c:pt idx="10" formatCode="0">
                  <c:v>97899.99999999999</c:v>
                </c:pt>
              </c:numCache>
            </c:numRef>
          </c:xVal>
          <c:yVal>
            <c:numRef>
              <c:f>Data!$AX$6:$AX$16</c:f>
              <c:numCache>
                <c:formatCode>General</c:formatCode>
                <c:ptCount val="11"/>
                <c:pt idx="0">
                  <c:v>82.6</c:v>
                </c:pt>
                <c:pt idx="1">
                  <c:v>63.5</c:v>
                </c:pt>
                <c:pt idx="2">
                  <c:v>122.8</c:v>
                </c:pt>
                <c:pt idx="3" formatCode="0.0">
                  <c:v>114.0</c:v>
                </c:pt>
                <c:pt idx="4">
                  <c:v>190.5</c:v>
                </c:pt>
                <c:pt idx="5" formatCode="0.0">
                  <c:v>269.0</c:v>
                </c:pt>
                <c:pt idx="6">
                  <c:v>40000.0</c:v>
                </c:pt>
                <c:pt idx="7">
                  <c:v>37000.0</c:v>
                </c:pt>
                <c:pt idx="8" formatCode="0.0">
                  <c:v>24400.0</c:v>
                </c:pt>
                <c:pt idx="9">
                  <c:v>37000.0</c:v>
                </c:pt>
                <c:pt idx="10" formatCode="0.0">
                  <c:v>37300.0</c:v>
                </c:pt>
              </c:numCache>
            </c:numRef>
          </c:yVal>
          <c:smooth val="0"/>
        </c:ser>
        <c:ser>
          <c:idx val="6"/>
          <c:order val="5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Data!$BM$46:$BM$47</c:f>
              <c:numCache>
                <c:formatCode>0</c:formatCode>
                <c:ptCount val="2"/>
                <c:pt idx="0">
                  <c:v>602.0</c:v>
                </c:pt>
                <c:pt idx="1">
                  <c:v>190.0</c:v>
                </c:pt>
              </c:numCache>
            </c:numRef>
          </c:xVal>
          <c:yVal>
            <c:numRef>
              <c:f>Data!$AX$46:$AX$47</c:f>
              <c:numCache>
                <c:formatCode>0</c:formatCode>
                <c:ptCount val="2"/>
                <c:pt idx="0">
                  <c:v>388.1</c:v>
                </c:pt>
                <c:pt idx="1">
                  <c:v>149.8</c:v>
                </c:pt>
              </c:numCache>
            </c:numRef>
          </c:yVal>
          <c:smooth val="0"/>
        </c:ser>
        <c:ser>
          <c:idx val="7"/>
          <c:order val="6"/>
          <c:tx>
            <c:v>MF23-Sill 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Data!$BM$49:$BM$55</c:f>
              <c:numCache>
                <c:formatCode>0</c:formatCode>
                <c:ptCount val="7"/>
                <c:pt idx="0">
                  <c:v>4648.0</c:v>
                </c:pt>
                <c:pt idx="1">
                  <c:v>70200.0</c:v>
                </c:pt>
                <c:pt idx="2">
                  <c:v>200000.0</c:v>
                </c:pt>
                <c:pt idx="3">
                  <c:v>6257.0</c:v>
                </c:pt>
                <c:pt idx="4">
                  <c:v>16700.0</c:v>
                </c:pt>
                <c:pt idx="5">
                  <c:v>141100.0</c:v>
                </c:pt>
                <c:pt idx="6">
                  <c:v>228</c:v>
                </c:pt>
              </c:numCache>
            </c:numRef>
          </c:xVal>
          <c:yVal>
            <c:numRef>
              <c:f>Data!$AX$49:$AX$55</c:f>
              <c:numCache>
                <c:formatCode>0</c:formatCode>
                <c:ptCount val="7"/>
                <c:pt idx="0">
                  <c:v>9531.6</c:v>
                </c:pt>
                <c:pt idx="1">
                  <c:v>32900.0</c:v>
                </c:pt>
                <c:pt idx="2">
                  <c:v>5800.0</c:v>
                </c:pt>
                <c:pt idx="3">
                  <c:v>7860.7</c:v>
                </c:pt>
                <c:pt idx="4">
                  <c:v>4500.0</c:v>
                </c:pt>
                <c:pt idx="5">
                  <c:v>58700.0</c:v>
                </c:pt>
                <c:pt idx="6">
                  <c:v>5900.0</c:v>
                </c:pt>
              </c:numCache>
            </c:numRef>
          </c:yVal>
          <c:smooth val="0"/>
        </c:ser>
        <c:ser>
          <c:idx val="3"/>
          <c:order val="7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Data!$BM$18:$BM$19</c:f>
              <c:numCache>
                <c:formatCode>General</c:formatCode>
                <c:ptCount val="2"/>
                <c:pt idx="0">
                  <c:v>106.4</c:v>
                </c:pt>
                <c:pt idx="1">
                  <c:v>267.2</c:v>
                </c:pt>
              </c:numCache>
            </c:numRef>
          </c:xVal>
          <c:yVal>
            <c:numRef>
              <c:f>Data!$AX$18:$AX$19</c:f>
              <c:numCache>
                <c:formatCode>General</c:formatCode>
                <c:ptCount val="2"/>
                <c:pt idx="0">
                  <c:v>9.8</c:v>
                </c:pt>
                <c:pt idx="1">
                  <c:v>65.4</c:v>
                </c:pt>
              </c:numCache>
            </c:numRef>
          </c:yVal>
          <c:smooth val="0"/>
        </c:ser>
        <c:ser>
          <c:idx val="9"/>
          <c:order val="8"/>
          <c:tx>
            <c:v>MF93 Sill 2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Data!$BM$20:$BM$22</c:f>
              <c:numCache>
                <c:formatCode>General</c:formatCode>
                <c:ptCount val="3"/>
                <c:pt idx="0">
                  <c:v>5808.0</c:v>
                </c:pt>
                <c:pt idx="1">
                  <c:v>20242.0</c:v>
                </c:pt>
                <c:pt idx="2">
                  <c:v>407.2</c:v>
                </c:pt>
              </c:numCache>
            </c:numRef>
          </c:xVal>
          <c:yVal>
            <c:numRef>
              <c:f>Data!$AX$20:$AX$22</c:f>
              <c:numCache>
                <c:formatCode>General</c:formatCode>
                <c:ptCount val="3"/>
                <c:pt idx="0">
                  <c:v>3895.0</c:v>
                </c:pt>
                <c:pt idx="1">
                  <c:v>13230.0</c:v>
                </c:pt>
                <c:pt idx="2">
                  <c:v>140.6</c:v>
                </c:pt>
              </c:numCache>
            </c:numRef>
          </c:yVal>
          <c:smooth val="0"/>
        </c:ser>
        <c:ser>
          <c:idx val="8"/>
          <c:order val="9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Data!$BM$24:$BM$25</c:f>
              <c:numCache>
                <c:formatCode>General</c:formatCode>
                <c:ptCount val="2"/>
                <c:pt idx="0">
                  <c:v>576.6</c:v>
                </c:pt>
                <c:pt idx="1">
                  <c:v>370.3</c:v>
                </c:pt>
              </c:numCache>
            </c:numRef>
          </c:xVal>
          <c:yVal>
            <c:numRef>
              <c:f>Data!$AX$24:$AX$25</c:f>
              <c:numCache>
                <c:formatCode>General</c:formatCode>
                <c:ptCount val="2"/>
                <c:pt idx="0">
                  <c:v>132.7</c:v>
                </c:pt>
                <c:pt idx="1">
                  <c:v>106.3</c:v>
                </c:pt>
              </c:numCache>
            </c:numRef>
          </c:yVal>
          <c:smooth val="0"/>
        </c:ser>
        <c:ser>
          <c:idx val="10"/>
          <c:order val="10"/>
          <c:tx>
            <c:v>MF93-Sill4</c:v>
          </c:tx>
          <c:spPr>
            <a:ln w="28575">
              <a:noFill/>
            </a:ln>
          </c:spPr>
          <c:marker>
            <c:symbol val="square"/>
            <c:size val="8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Data!$BM$26:$BM$36</c:f>
              <c:numCache>
                <c:formatCode>General</c:formatCode>
                <c:ptCount val="11"/>
                <c:pt idx="0">
                  <c:v>71.6</c:v>
                </c:pt>
                <c:pt idx="1">
                  <c:v>24.8</c:v>
                </c:pt>
                <c:pt idx="2" formatCode="0">
                  <c:v>35.0</c:v>
                </c:pt>
                <c:pt idx="3">
                  <c:v>77.1</c:v>
                </c:pt>
                <c:pt idx="4">
                  <c:v>126.8</c:v>
                </c:pt>
                <c:pt idx="5" formatCode="0">
                  <c:v>137.0</c:v>
                </c:pt>
                <c:pt idx="6">
                  <c:v>312.8</c:v>
                </c:pt>
                <c:pt idx="7">
                  <c:v>537.4</c:v>
                </c:pt>
                <c:pt idx="8" formatCode="0">
                  <c:v>2004.0</c:v>
                </c:pt>
                <c:pt idx="9" formatCode="0">
                  <c:v>2877.0</c:v>
                </c:pt>
                <c:pt idx="10">
                  <c:v>2059.8</c:v>
                </c:pt>
              </c:numCache>
            </c:numRef>
          </c:xVal>
          <c:yVal>
            <c:numRef>
              <c:f>Data!$AX$26:$AX$36</c:f>
              <c:numCache>
                <c:formatCode>General</c:formatCode>
                <c:ptCount val="11"/>
                <c:pt idx="0">
                  <c:v>5.4</c:v>
                </c:pt>
                <c:pt idx="1">
                  <c:v>40.2</c:v>
                </c:pt>
                <c:pt idx="2" formatCode="0.0">
                  <c:v>266.0</c:v>
                </c:pt>
                <c:pt idx="3">
                  <c:v>53.2</c:v>
                </c:pt>
                <c:pt idx="4">
                  <c:v>66.6</c:v>
                </c:pt>
                <c:pt idx="5" formatCode="0.0">
                  <c:v>85.0</c:v>
                </c:pt>
                <c:pt idx="6">
                  <c:v>47.8</c:v>
                </c:pt>
                <c:pt idx="7">
                  <c:v>2.8</c:v>
                </c:pt>
                <c:pt idx="8" formatCode="0.0">
                  <c:v>247.0</c:v>
                </c:pt>
                <c:pt idx="9" formatCode="0.0">
                  <c:v>830.0</c:v>
                </c:pt>
                <c:pt idx="10">
                  <c:v>507.2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281704"/>
        <c:axId val="-2079289784"/>
      </c:scatterChart>
      <c:valAx>
        <c:axId val="-2079281704"/>
        <c:scaling>
          <c:logBase val="10.0"/>
          <c:orientation val="minMax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 (ppm)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289784"/>
        <c:crossesAt val="0.01"/>
        <c:crossBetween val="midCat"/>
      </c:valAx>
      <c:valAx>
        <c:axId val="-2079289784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28170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579599891181"/>
          <c:y val="0.192237761340252"/>
          <c:w val="0.157577070395158"/>
          <c:h val="0.58467024888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MF93-Sill4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Data!$DO$26:$DO$36</c:f>
              <c:numCache>
                <c:formatCode>0.0</c:formatCode>
                <c:ptCount val="11"/>
                <c:pt idx="0">
                  <c:v>1127.348643006263</c:v>
                </c:pt>
                <c:pt idx="1">
                  <c:v>335000.0</c:v>
                </c:pt>
                <c:pt idx="2">
                  <c:v>190000.0</c:v>
                </c:pt>
                <c:pt idx="3">
                  <c:v>443333.3333333333</c:v>
                </c:pt>
                <c:pt idx="4">
                  <c:v>555000.0</c:v>
                </c:pt>
                <c:pt idx="5">
                  <c:v>85000.0</c:v>
                </c:pt>
                <c:pt idx="6">
                  <c:v>106222.2222222222</c:v>
                </c:pt>
                <c:pt idx="7">
                  <c:v>12173.91304347826</c:v>
                </c:pt>
                <c:pt idx="8">
                  <c:v>4062.5</c:v>
                </c:pt>
                <c:pt idx="9">
                  <c:v>6876.55343827672</c:v>
                </c:pt>
                <c:pt idx="10">
                  <c:v>6835.579514824798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ser>
          <c:idx val="1"/>
          <c:order val="1"/>
          <c:tx>
            <c:v>mantle</c:v>
          </c:tx>
          <c:spPr>
            <a:ln w="190500">
              <a:solidFill>
                <a:srgbClr val="3366FF"/>
              </a:solidFill>
            </a:ln>
          </c:spPr>
          <c:xVal>
            <c:numRef>
              <c:f>Data!$DO$88:$DO$89</c:f>
              <c:numCache>
                <c:formatCode>0.0</c:formatCode>
                <c:ptCount val="2"/>
                <c:pt idx="0">
                  <c:v>7690.0</c:v>
                </c:pt>
                <c:pt idx="1">
                  <c:v>7690.0</c:v>
                </c:pt>
              </c:numCache>
            </c:numRef>
          </c:xVal>
          <c:yVal>
            <c:numRef>
              <c:f>Data!$C$88:$C$89</c:f>
              <c:numCache>
                <c:formatCode>General</c:formatCode>
                <c:ptCount val="2"/>
                <c:pt idx="0">
                  <c:v>300.0</c:v>
                </c:pt>
                <c:pt idx="1">
                  <c:v>400.0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323128"/>
        <c:axId val="-2096456792"/>
      </c:scatterChart>
      <c:valAx>
        <c:axId val="-2079323128"/>
        <c:scaling>
          <c:logBase val="10.0"/>
          <c:orientation val="minMax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Cu/Pd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456792"/>
        <c:crosses val="max"/>
        <c:crossBetween val="midCat"/>
      </c:valAx>
      <c:valAx>
        <c:axId val="-2096456792"/>
        <c:scaling>
          <c:orientation val="maxMin"/>
          <c:max val="390.0"/>
          <c:min val="32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323128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7931034482759"/>
          <c:y val="0.776018099547511"/>
          <c:w val="0.154762964974206"/>
          <c:h val="0.0548774361349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MF23-Sill4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6305912"/>
        <c:axId val="-2096397560"/>
      </c:scatterChart>
      <c:valAx>
        <c:axId val="-209630591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397560"/>
        <c:crosses val="max"/>
        <c:crossBetween val="midCat"/>
      </c:valAx>
      <c:valAx>
        <c:axId val="-20963975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305912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MF23-Sill4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6460488"/>
        <c:axId val="-2096466360"/>
      </c:scatterChart>
      <c:valAx>
        <c:axId val="-209646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466360"/>
        <c:crosses val="max"/>
        <c:crossBetween val="midCat"/>
      </c:valAx>
      <c:valAx>
        <c:axId val="-20964663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460488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Data!$BM$43:$BM$44</c:f>
              <c:numCache>
                <c:formatCode>0</c:formatCode>
                <c:ptCount val="2"/>
                <c:pt idx="0">
                  <c:v>59800.00000000001</c:v>
                </c:pt>
                <c:pt idx="1">
                  <c:v>81199.99999999999</c:v>
                </c:pt>
              </c:numCache>
            </c:numRef>
          </c:xVal>
          <c:yVal>
            <c:numRef>
              <c:f>Data!$G$43:$G$44</c:f>
              <c:numCache>
                <c:formatCode>0.0</c:formatCode>
                <c:ptCount val="2"/>
                <c:pt idx="0">
                  <c:v>1971.0</c:v>
                </c:pt>
                <c:pt idx="1">
                  <c:v>861.2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Data!$BM$22</c:f>
              <c:numCache>
                <c:formatCode>General</c:formatCode>
                <c:ptCount val="1"/>
                <c:pt idx="0">
                  <c:v>407.2</c:v>
                </c:pt>
              </c:numCache>
            </c:numRef>
          </c:xVal>
          <c:y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5"/>
          <c:order val="2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Data!$BM$57:$BM$59</c:f>
              <c:numCache>
                <c:formatCode>0</c:formatCode>
                <c:ptCount val="3"/>
                <c:pt idx="0">
                  <c:v>23200.0</c:v>
                </c:pt>
                <c:pt idx="1">
                  <c:v>678.0</c:v>
                </c:pt>
                <c:pt idx="2">
                  <c:v>750.0</c:v>
                </c:pt>
              </c:numCache>
            </c:numRef>
          </c:xVal>
          <c:yVal>
            <c:numRef>
              <c:f>Data!$G$57:$G$59</c:f>
              <c:numCache>
                <c:formatCode>0.0</c:formatCode>
                <c:ptCount val="3"/>
                <c:pt idx="0">
                  <c:v>541.2</c:v>
                </c:pt>
                <c:pt idx="1">
                  <c:v>7.8</c:v>
                </c:pt>
                <c:pt idx="2">
                  <c:v>3.3</c:v>
                </c:pt>
              </c:numCache>
            </c:numRef>
          </c:yVal>
          <c:smooth val="0"/>
        </c:ser>
        <c:ser>
          <c:idx val="4"/>
          <c:order val="3"/>
          <c:tx>
            <c:v>MF95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Data!$BM$38:$BM$41</c:f>
              <c:numCache>
                <c:formatCode>General</c:formatCode>
                <c:ptCount val="4"/>
                <c:pt idx="0">
                  <c:v>290.8</c:v>
                </c:pt>
                <c:pt idx="1">
                  <c:v>20300.0</c:v>
                </c:pt>
                <c:pt idx="2">
                  <c:v>2102.5</c:v>
                </c:pt>
                <c:pt idx="3">
                  <c:v>395.7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0"/>
          <c:order val="4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Data!$BM$6:$BM$16</c:f>
              <c:numCache>
                <c:formatCode>General</c:formatCode>
                <c:ptCount val="11"/>
                <c:pt idx="0">
                  <c:v>238.5</c:v>
                </c:pt>
                <c:pt idx="1">
                  <c:v>288.1</c:v>
                </c:pt>
                <c:pt idx="2">
                  <c:v>142.2</c:v>
                </c:pt>
                <c:pt idx="3" formatCode="0">
                  <c:v>515.0</c:v>
                </c:pt>
                <c:pt idx="4">
                  <c:v>584.7</c:v>
                </c:pt>
                <c:pt idx="5" formatCode="0">
                  <c:v>3308.0</c:v>
                </c:pt>
                <c:pt idx="6">
                  <c:v>10800.0</c:v>
                </c:pt>
                <c:pt idx="7">
                  <c:v>10800.0</c:v>
                </c:pt>
                <c:pt idx="8" formatCode="0">
                  <c:v>144700.0</c:v>
                </c:pt>
                <c:pt idx="9">
                  <c:v>10800.0</c:v>
                </c:pt>
                <c:pt idx="10" formatCode="0">
                  <c:v>97899.99999999999</c:v>
                </c:pt>
              </c:numCache>
            </c:numRef>
          </c:xVal>
          <c:yVal>
            <c:numRef>
              <c:f>Data!$G$6:$G$16</c:f>
              <c:numCache>
                <c:formatCode>General</c:formatCode>
                <c:ptCount val="11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  <c:pt idx="10" formatCode="0.0">
                  <c:v>710.1</c:v>
                </c:pt>
              </c:numCache>
            </c:numRef>
          </c:yVal>
          <c:smooth val="0"/>
        </c:ser>
        <c:ser>
          <c:idx val="6"/>
          <c:order val="5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Data!$BM$46:$BM$47</c:f>
              <c:numCache>
                <c:formatCode>0</c:formatCode>
                <c:ptCount val="2"/>
                <c:pt idx="0">
                  <c:v>602.0</c:v>
                </c:pt>
                <c:pt idx="1">
                  <c:v>190.0</c:v>
                </c:pt>
              </c:numCache>
            </c:numRef>
          </c:xVal>
          <c:yVal>
            <c:numRef>
              <c:f>Data!$G$46:$G$47</c:f>
              <c:numCache>
                <c:formatCode>0.0</c:formatCode>
                <c:ptCount val="2"/>
                <c:pt idx="0">
                  <c:v>6.6</c:v>
                </c:pt>
                <c:pt idx="1">
                  <c:v>1.8</c:v>
                </c:pt>
              </c:numCache>
            </c:numRef>
          </c:yVal>
          <c:smooth val="0"/>
        </c:ser>
        <c:ser>
          <c:idx val="7"/>
          <c:order val="6"/>
          <c:tx>
            <c:v>MF23-Sill 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Data!$BM$49:$BM$55</c:f>
              <c:numCache>
                <c:formatCode>0</c:formatCode>
                <c:ptCount val="7"/>
                <c:pt idx="0">
                  <c:v>4648.0</c:v>
                </c:pt>
                <c:pt idx="1">
                  <c:v>70200.0</c:v>
                </c:pt>
                <c:pt idx="2">
                  <c:v>200000.0</c:v>
                </c:pt>
                <c:pt idx="3">
                  <c:v>6257.0</c:v>
                </c:pt>
                <c:pt idx="4">
                  <c:v>16700.0</c:v>
                </c:pt>
                <c:pt idx="5">
                  <c:v>141100.0</c:v>
                </c:pt>
                <c:pt idx="6">
                  <c:v>228</c:v>
                </c:pt>
              </c:numCache>
            </c:numRef>
          </c:xVal>
          <c:yVal>
            <c:numRef>
              <c:f>Data!$G$49:$G$55</c:f>
              <c:numCache>
                <c:formatCode>0.0</c:formatCode>
                <c:ptCount val="7"/>
                <c:pt idx="0">
                  <c:v>131.1</c:v>
                </c:pt>
                <c:pt idx="1">
                  <c:v>658.3</c:v>
                </c:pt>
                <c:pt idx="2">
                  <c:v>1361.0</c:v>
                </c:pt>
                <c:pt idx="3">
                  <c:v>310.2</c:v>
                </c:pt>
                <c:pt idx="4">
                  <c:v>188.5</c:v>
                </c:pt>
                <c:pt idx="5">
                  <c:v>482.9</c:v>
                </c:pt>
                <c:pt idx="6">
                  <c:v>230.4</c:v>
                </c:pt>
              </c:numCache>
            </c:numRef>
          </c:yVal>
          <c:smooth val="0"/>
        </c:ser>
        <c:ser>
          <c:idx val="3"/>
          <c:order val="7"/>
          <c:tx>
            <c:v>MF93-Sill 1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Data!$BM$18:$BM$19</c:f>
              <c:numCache>
                <c:formatCode>General</c:formatCode>
                <c:ptCount val="2"/>
                <c:pt idx="0">
                  <c:v>106.4</c:v>
                </c:pt>
                <c:pt idx="1">
                  <c:v>267.2</c:v>
                </c:pt>
              </c:numCache>
            </c:numRef>
          </c:xVal>
          <c:yVal>
            <c:numRef>
              <c:f>Data!$G$18:$G$19</c:f>
              <c:numCache>
                <c:formatCode>General</c:formatCode>
                <c:ptCount val="2"/>
                <c:pt idx="0">
                  <c:v>1.08</c:v>
                </c:pt>
                <c:pt idx="1">
                  <c:v>0.27</c:v>
                </c:pt>
              </c:numCache>
            </c:numRef>
          </c:yVal>
          <c:smooth val="0"/>
        </c:ser>
        <c:ser>
          <c:idx val="9"/>
          <c:order val="8"/>
          <c:tx>
            <c:v>MF93 Sill 2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Data!$BM$20:$BM$22</c:f>
              <c:numCache>
                <c:formatCode>General</c:formatCode>
                <c:ptCount val="3"/>
                <c:pt idx="0">
                  <c:v>5808.0</c:v>
                </c:pt>
                <c:pt idx="1">
                  <c:v>20242.0</c:v>
                </c:pt>
                <c:pt idx="2">
                  <c:v>407.2</c:v>
                </c:pt>
              </c:numCache>
            </c:numRef>
          </c:xVal>
          <c:y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yVal>
          <c:smooth val="0"/>
        </c:ser>
        <c:ser>
          <c:idx val="8"/>
          <c:order val="9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Data!$BM$24:$BM$25</c:f>
              <c:numCache>
                <c:formatCode>General</c:formatCode>
                <c:ptCount val="2"/>
                <c:pt idx="0">
                  <c:v>576.6</c:v>
                </c:pt>
                <c:pt idx="1">
                  <c:v>370.3</c:v>
                </c:pt>
              </c:numCache>
            </c:numRef>
          </c:xVal>
          <c:yVal>
            <c:numRef>
              <c:f>Data!$G$24:$G$25</c:f>
              <c:numCache>
                <c:formatCode>General</c:formatCode>
                <c:ptCount val="2"/>
                <c:pt idx="0">
                  <c:v>0.99</c:v>
                </c:pt>
                <c:pt idx="1">
                  <c:v>0.73</c:v>
                </c:pt>
              </c:numCache>
            </c:numRef>
          </c:yVal>
          <c:smooth val="0"/>
        </c:ser>
        <c:ser>
          <c:idx val="10"/>
          <c:order val="10"/>
          <c:tx>
            <c:v>MF93-Sill4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Data!$BM$26:$BM$36</c:f>
              <c:numCache>
                <c:formatCode>General</c:formatCode>
                <c:ptCount val="11"/>
                <c:pt idx="0">
                  <c:v>71.6</c:v>
                </c:pt>
                <c:pt idx="1">
                  <c:v>24.8</c:v>
                </c:pt>
                <c:pt idx="2" formatCode="0">
                  <c:v>35.0</c:v>
                </c:pt>
                <c:pt idx="3">
                  <c:v>77.1</c:v>
                </c:pt>
                <c:pt idx="4">
                  <c:v>126.8</c:v>
                </c:pt>
                <c:pt idx="5" formatCode="0">
                  <c:v>137.0</c:v>
                </c:pt>
                <c:pt idx="6">
                  <c:v>312.8</c:v>
                </c:pt>
                <c:pt idx="7">
                  <c:v>537.4</c:v>
                </c:pt>
                <c:pt idx="8" formatCode="0">
                  <c:v>2004.0</c:v>
                </c:pt>
                <c:pt idx="9" formatCode="0">
                  <c:v>2877.0</c:v>
                </c:pt>
                <c:pt idx="10">
                  <c:v>2059.8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6038840"/>
        <c:axId val="-2096046920"/>
      </c:scatterChart>
      <c:valAx>
        <c:axId val="-209603884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 (ppm)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046920"/>
        <c:crossesAt val="0.01"/>
        <c:crossBetween val="midCat"/>
      </c:valAx>
      <c:valAx>
        <c:axId val="-2096046920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038840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53793141002603"/>
          <c:y val="0.305429856982163"/>
          <c:w val="0.137433704390572"/>
          <c:h val="0.5491139993240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 81A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Data!$BM$6:$BM$16</c:f>
              <c:numCache>
                <c:formatCode>General</c:formatCode>
                <c:ptCount val="11"/>
                <c:pt idx="0">
                  <c:v>238.5</c:v>
                </c:pt>
                <c:pt idx="1">
                  <c:v>288.1</c:v>
                </c:pt>
                <c:pt idx="2">
                  <c:v>142.2</c:v>
                </c:pt>
                <c:pt idx="3" formatCode="0">
                  <c:v>515.0</c:v>
                </c:pt>
                <c:pt idx="4">
                  <c:v>584.7</c:v>
                </c:pt>
                <c:pt idx="5" formatCode="0">
                  <c:v>3308.0</c:v>
                </c:pt>
                <c:pt idx="6">
                  <c:v>10800.0</c:v>
                </c:pt>
                <c:pt idx="7">
                  <c:v>10800.0</c:v>
                </c:pt>
                <c:pt idx="8" formatCode="0">
                  <c:v>144700.0</c:v>
                </c:pt>
                <c:pt idx="9">
                  <c:v>10800.0</c:v>
                </c:pt>
                <c:pt idx="10" formatCode="0">
                  <c:v>97899.99999999999</c:v>
                </c:pt>
              </c:numCache>
            </c:numRef>
          </c:xVal>
          <c:yVal>
            <c:numRef>
              <c:f>Data!$C$6:$C$16</c:f>
              <c:numCache>
                <c:formatCode>General</c:formatCode>
                <c:ptCount val="11"/>
                <c:pt idx="0">
                  <c:v>163.5</c:v>
                </c:pt>
                <c:pt idx="1">
                  <c:v>164.2</c:v>
                </c:pt>
                <c:pt idx="2">
                  <c:v>167.45</c:v>
                </c:pt>
                <c:pt idx="3">
                  <c:v>169.2</c:v>
                </c:pt>
                <c:pt idx="4">
                  <c:v>170.9</c:v>
                </c:pt>
                <c:pt idx="5">
                  <c:v>171.5</c:v>
                </c:pt>
                <c:pt idx="6">
                  <c:v>174.25</c:v>
                </c:pt>
                <c:pt idx="7">
                  <c:v>174.4</c:v>
                </c:pt>
                <c:pt idx="8">
                  <c:v>174.44</c:v>
                </c:pt>
                <c:pt idx="9">
                  <c:v>174.5</c:v>
                </c:pt>
                <c:pt idx="10">
                  <c:v>174.52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031672"/>
        <c:axId val="-2079037384"/>
      </c:scatterChart>
      <c:valAx>
        <c:axId val="-2079031672"/>
        <c:scaling>
          <c:logBase val="10.0"/>
          <c:orientation val="minMax"/>
          <c:min val="10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 (ppm)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037384"/>
        <c:crosses val="max"/>
        <c:crossBetween val="midCat"/>
      </c:valAx>
      <c:valAx>
        <c:axId val="-20790373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031672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2068965517241"/>
          <c:y val="0.194570135746606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47571056688"/>
          <c:y val="0.0294019816297107"/>
          <c:w val="0.670344827586207"/>
          <c:h val="0.809954751131222"/>
        </c:manualLayout>
      </c:layout>
      <c:scatterChart>
        <c:scatterStyle val="lineMarker"/>
        <c:varyColors val="0"/>
        <c:ser>
          <c:idx val="2"/>
          <c:order val="0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xVal>
          <c:yVal>
            <c:numRef>
              <c:f>Data!$F$22</c:f>
              <c:numCache>
                <c:formatCode>General</c:formatCode>
                <c:ptCount val="1"/>
                <c:pt idx="0">
                  <c:v>0.08</c:v>
                </c:pt>
              </c:numCache>
            </c:numRef>
          </c:yVal>
          <c:smooth val="0"/>
        </c:ser>
        <c:ser>
          <c:idx val="11"/>
          <c:order val="1"/>
          <c:tx>
            <c:v>MF-19 assays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Data!$G$68:$G$74</c:f>
              <c:numCache>
                <c:formatCode>General</c:formatCode>
                <c:ptCount val="7"/>
                <c:pt idx="0">
                  <c:v>1143.0</c:v>
                </c:pt>
                <c:pt idx="1">
                  <c:v>669.0</c:v>
                </c:pt>
                <c:pt idx="2">
                  <c:v>6.0</c:v>
                </c:pt>
                <c:pt idx="3">
                  <c:v>3574.0</c:v>
                </c:pt>
                <c:pt idx="4">
                  <c:v>1703.0</c:v>
                </c:pt>
                <c:pt idx="5">
                  <c:v>115.0</c:v>
                </c:pt>
                <c:pt idx="6">
                  <c:v>2768.0</c:v>
                </c:pt>
              </c:numCache>
            </c:numRef>
          </c:xVal>
          <c:yVal>
            <c:numRef>
              <c:f>Data!$F$68:$F$74</c:f>
              <c:numCache>
                <c:formatCode>General</c:formatCode>
                <c:ptCount val="7"/>
                <c:pt idx="0">
                  <c:v>89.0</c:v>
                </c:pt>
                <c:pt idx="1">
                  <c:v>28.0</c:v>
                </c:pt>
                <c:pt idx="2">
                  <c:v>4.0</c:v>
                </c:pt>
                <c:pt idx="3">
                  <c:v>78.0</c:v>
                </c:pt>
                <c:pt idx="4">
                  <c:v>76.0</c:v>
                </c:pt>
                <c:pt idx="5">
                  <c:v>4.0</c:v>
                </c:pt>
                <c:pt idx="6">
                  <c:v>127.0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xVal>
          <c:yVal>
            <c:numRef>
              <c:f>Data!$F$38:$F$41</c:f>
              <c:numCache>
                <c:formatCode>General</c:formatCode>
                <c:ptCount val="4"/>
                <c:pt idx="0">
                  <c:v>0.02</c:v>
                </c:pt>
                <c:pt idx="1">
                  <c:v>26.3</c:v>
                </c:pt>
                <c:pt idx="2">
                  <c:v>0.13</c:v>
                </c:pt>
                <c:pt idx="3">
                  <c:v>0.04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Data!$G$6:$G$16</c:f>
              <c:numCache>
                <c:formatCode>General</c:formatCode>
                <c:ptCount val="11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  <c:pt idx="10" formatCode="0.0">
                  <c:v>710.1</c:v>
                </c:pt>
              </c:numCache>
            </c:numRef>
          </c:xVal>
          <c:yVal>
            <c:numRef>
              <c:f>Data!$F$6:$F$16</c:f>
              <c:numCache>
                <c:formatCode>General</c:formatCode>
                <c:ptCount val="11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4">
                  <c:v>0.22</c:v>
                </c:pt>
                <c:pt idx="6">
                  <c:v>239.0</c:v>
                </c:pt>
                <c:pt idx="7">
                  <c:v>70.9</c:v>
                </c:pt>
                <c:pt idx="9">
                  <c:v>68.6</c:v>
                </c:pt>
              </c:numCache>
            </c:numRef>
          </c:yVal>
          <c:smooth val="0"/>
        </c:ser>
        <c:ser>
          <c:idx val="3"/>
          <c:order val="4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Data!$G$18:$G$19</c:f>
              <c:numCache>
                <c:formatCode>General</c:formatCode>
                <c:ptCount val="2"/>
                <c:pt idx="0">
                  <c:v>1.08</c:v>
                </c:pt>
                <c:pt idx="1">
                  <c:v>0.27</c:v>
                </c:pt>
              </c:numCache>
            </c:numRef>
          </c:xVal>
          <c:yVal>
            <c:numRef>
              <c:f>Data!$F$18:$F$19</c:f>
              <c:numCache>
                <c:formatCode>General</c:formatCode>
                <c:ptCount val="2"/>
                <c:pt idx="0">
                  <c:v>0.11</c:v>
                </c:pt>
                <c:pt idx="1">
                  <c:v>0.02</c:v>
                </c:pt>
              </c:numCache>
            </c:numRef>
          </c:yVal>
          <c:smooth val="0"/>
        </c:ser>
        <c:ser>
          <c:idx val="9"/>
          <c:order val="5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xVal>
          <c:yVal>
            <c:numRef>
              <c:f>Data!$F$20:$F$22</c:f>
              <c:numCache>
                <c:formatCode>General</c:formatCode>
                <c:ptCount val="3"/>
                <c:pt idx="0">
                  <c:v>6.3</c:v>
                </c:pt>
                <c:pt idx="1">
                  <c:v>25.6</c:v>
                </c:pt>
                <c:pt idx="2">
                  <c:v>0.08</c:v>
                </c:pt>
              </c:numCache>
            </c:numRef>
          </c:yVal>
          <c:smooth val="0"/>
        </c:ser>
        <c:ser>
          <c:idx val="8"/>
          <c:order val="6"/>
          <c:tx>
            <c:v>MF93-Sill 3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Data!$H$24:$H$25</c:f>
              <c:numCache>
                <c:formatCode>General</c:formatCode>
                <c:ptCount val="2"/>
                <c:pt idx="0">
                  <c:v>0.92</c:v>
                </c:pt>
                <c:pt idx="1">
                  <c:v>0.62</c:v>
                </c:pt>
              </c:numCache>
            </c:numRef>
          </c:xVal>
          <c:yVal>
            <c:numRef>
              <c:f>Data!$G$24:$G$25</c:f>
              <c:numCache>
                <c:formatCode>General</c:formatCode>
                <c:ptCount val="2"/>
                <c:pt idx="0">
                  <c:v>0.99</c:v>
                </c:pt>
                <c:pt idx="1">
                  <c:v>0.73</c:v>
                </c:pt>
              </c:numCache>
            </c:numRef>
          </c:yVal>
          <c:smooth val="0"/>
        </c:ser>
        <c:ser>
          <c:idx val="10"/>
          <c:order val="7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xVal>
          <c:yVal>
            <c:numRef>
              <c:f>Data!$F$26:$F$36</c:f>
              <c:numCache>
                <c:formatCode>General</c:formatCode>
                <c:ptCount val="11"/>
                <c:pt idx="0">
                  <c:v>0.02</c:v>
                </c:pt>
                <c:pt idx="1">
                  <c:v>0.01</c:v>
                </c:pt>
                <c:pt idx="3">
                  <c:v>0.01</c:v>
                </c:pt>
                <c:pt idx="4">
                  <c:v>0.01</c:v>
                </c:pt>
                <c:pt idx="6">
                  <c:v>0.02</c:v>
                </c:pt>
                <c:pt idx="7">
                  <c:v>0.02</c:v>
                </c:pt>
                <c:pt idx="10">
                  <c:v>1.24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176136"/>
        <c:axId val="-2107364920"/>
      </c:scatterChart>
      <c:valAx>
        <c:axId val="-210717613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07364920"/>
        <c:crossesAt val="0.01"/>
        <c:crossBetween val="midCat"/>
      </c:valAx>
      <c:valAx>
        <c:axId val="-2107364920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Ir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07176136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8947029486079"/>
          <c:y val="0.174127011968781"/>
          <c:w val="0.150604299893258"/>
          <c:h val="0.529571502521957"/>
        </c:manualLayout>
      </c:layout>
      <c:overlay val="0"/>
      <c:spPr>
        <a:solidFill>
          <a:srgbClr val="FFFFFF"/>
        </a:solidFill>
        <a:ln w="15875"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2"/>
          <c:order val="0"/>
          <c:tx>
            <c:v>Sill 2 A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Data!$H$22</c:f>
              <c:numCache>
                <c:formatCode>General</c:formatCode>
                <c:ptCount val="1"/>
                <c:pt idx="0">
                  <c:v>1.04</c:v>
                </c:pt>
              </c:numCache>
            </c:numRef>
          </c:xVal>
          <c:y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11"/>
          <c:order val="1"/>
          <c:tx>
            <c:v>MF-19 assays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Data!$H$68:$H$74</c:f>
              <c:numCache>
                <c:formatCode>General</c:formatCode>
                <c:ptCount val="7"/>
                <c:pt idx="0">
                  <c:v>333.0</c:v>
                </c:pt>
                <c:pt idx="1">
                  <c:v>104.0</c:v>
                </c:pt>
                <c:pt idx="2">
                  <c:v>6.0</c:v>
                </c:pt>
                <c:pt idx="3">
                  <c:v>575.0</c:v>
                </c:pt>
                <c:pt idx="4">
                  <c:v>840.0</c:v>
                </c:pt>
                <c:pt idx="5">
                  <c:v>16.0</c:v>
                </c:pt>
                <c:pt idx="6">
                  <c:v>481.0</c:v>
                </c:pt>
              </c:numCache>
            </c:numRef>
          </c:xVal>
          <c:yVal>
            <c:numRef>
              <c:f>Data!$I$68:$I$74</c:f>
              <c:numCache>
                <c:formatCode>General</c:formatCode>
                <c:ptCount val="7"/>
                <c:pt idx="0">
                  <c:v>43.0</c:v>
                </c:pt>
                <c:pt idx="1">
                  <c:v>13.0</c:v>
                </c:pt>
                <c:pt idx="2">
                  <c:v>2.0</c:v>
                </c:pt>
                <c:pt idx="3">
                  <c:v>43.0</c:v>
                </c:pt>
                <c:pt idx="4">
                  <c:v>50.0</c:v>
                </c:pt>
                <c:pt idx="5">
                  <c:v>3.0</c:v>
                </c:pt>
                <c:pt idx="6">
                  <c:v>61.0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Data!$H$38:$H$41</c:f>
              <c:numCache>
                <c:formatCode>General</c:formatCode>
                <c:ptCount val="4"/>
                <c:pt idx="0">
                  <c:v>0.22</c:v>
                </c:pt>
                <c:pt idx="1">
                  <c:v>238.0</c:v>
                </c:pt>
                <c:pt idx="2">
                  <c:v>99.5</c:v>
                </c:pt>
                <c:pt idx="3">
                  <c:v>0.55</c:v>
                </c:pt>
              </c:numCache>
            </c:numRef>
          </c:xVal>
          <c:yVal>
            <c:numRef>
              <c:f>Data!$I$38:$I$41</c:f>
              <c:numCache>
                <c:formatCode>General</c:formatCode>
                <c:ptCount val="4"/>
                <c:pt idx="0">
                  <c:v>0.24</c:v>
                </c:pt>
                <c:pt idx="1">
                  <c:v>13.5</c:v>
                </c:pt>
                <c:pt idx="2">
                  <c:v>0.11</c:v>
                </c:pt>
                <c:pt idx="3">
                  <c:v>0.01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Data!$H$6:$H$16</c:f>
              <c:numCache>
                <c:formatCode>General</c:formatCode>
                <c:ptCount val="11"/>
                <c:pt idx="0">
                  <c:v>0.26</c:v>
                </c:pt>
                <c:pt idx="1">
                  <c:v>0.2</c:v>
                </c:pt>
                <c:pt idx="2">
                  <c:v>0.17</c:v>
                </c:pt>
                <c:pt idx="3" formatCode="0.0">
                  <c:v>1.9</c:v>
                </c:pt>
                <c:pt idx="4">
                  <c:v>2.59</c:v>
                </c:pt>
                <c:pt idx="5" formatCode="0.0">
                  <c:v>100.6</c:v>
                </c:pt>
                <c:pt idx="6">
                  <c:v>610.0</c:v>
                </c:pt>
                <c:pt idx="7">
                  <c:v>961.0</c:v>
                </c:pt>
                <c:pt idx="8" formatCode="0.0">
                  <c:v>1022.0</c:v>
                </c:pt>
                <c:pt idx="9">
                  <c:v>730.0</c:v>
                </c:pt>
                <c:pt idx="10" formatCode="0.0">
                  <c:v>881.4</c:v>
                </c:pt>
              </c:numCache>
            </c:numRef>
          </c:xVal>
          <c:yVal>
            <c:numRef>
              <c:f>Data!$I$6:$I$16</c:f>
              <c:numCache>
                <c:formatCode>General</c:formatCode>
                <c:ptCount val="11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4">
                  <c:v>0.13</c:v>
                </c:pt>
                <c:pt idx="6">
                  <c:v>112.0</c:v>
                </c:pt>
                <c:pt idx="7">
                  <c:v>47.5</c:v>
                </c:pt>
                <c:pt idx="9">
                  <c:v>46.2</c:v>
                </c:pt>
              </c:numCache>
            </c:numRef>
          </c:yVal>
          <c:smooth val="0"/>
        </c:ser>
        <c:ser>
          <c:idx val="3"/>
          <c:order val="4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Data!$H$18:$H$19</c:f>
              <c:numCache>
                <c:formatCode>General</c:formatCode>
                <c:ptCount val="2"/>
                <c:pt idx="0">
                  <c:v>1.13</c:v>
                </c:pt>
                <c:pt idx="1">
                  <c:v>0.26</c:v>
                </c:pt>
              </c:numCache>
            </c:numRef>
          </c:xVal>
          <c:yVal>
            <c:numRef>
              <c:f>Data!$I$18:$I$19</c:f>
              <c:numCache>
                <c:formatCode>General</c:formatCode>
                <c:ptCount val="2"/>
                <c:pt idx="0">
                  <c:v>0.1</c:v>
                </c:pt>
                <c:pt idx="1">
                  <c:v>0.01</c:v>
                </c:pt>
              </c:numCache>
            </c:numRef>
          </c:yVal>
          <c:smooth val="0"/>
        </c:ser>
        <c:ser>
          <c:idx val="9"/>
          <c:order val="5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Data!$H$20:$H$22</c:f>
              <c:numCache>
                <c:formatCode>General</c:formatCode>
                <c:ptCount val="3"/>
                <c:pt idx="0">
                  <c:v>96.1</c:v>
                </c:pt>
                <c:pt idx="1">
                  <c:v>308.0</c:v>
                </c:pt>
                <c:pt idx="2">
                  <c:v>1.04</c:v>
                </c:pt>
              </c:numCache>
            </c:numRef>
          </c:xVal>
          <c:yVal>
            <c:numRef>
              <c:f>Data!$I$20:$I$22</c:f>
              <c:numCache>
                <c:formatCode>General</c:formatCode>
                <c:ptCount val="3"/>
                <c:pt idx="0">
                  <c:v>3.54</c:v>
                </c:pt>
                <c:pt idx="1">
                  <c:v>13.6</c:v>
                </c:pt>
                <c:pt idx="2">
                  <c:v>0.04</c:v>
                </c:pt>
              </c:numCache>
            </c:numRef>
          </c:yVal>
          <c:smooth val="0"/>
        </c:ser>
        <c:ser>
          <c:idx val="8"/>
          <c:order val="6"/>
          <c:tx>
            <c:v>MF93-Sill 3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Data!$H$24:$H$25</c:f>
              <c:numCache>
                <c:formatCode>General</c:formatCode>
                <c:ptCount val="2"/>
                <c:pt idx="0">
                  <c:v>0.92</c:v>
                </c:pt>
                <c:pt idx="1">
                  <c:v>0.62</c:v>
                </c:pt>
              </c:numCache>
            </c:numRef>
          </c:xVal>
          <c:yVal>
            <c:numRef>
              <c:f>Data!$I$24:$I$25</c:f>
              <c:numCache>
                <c:formatCode>General</c:formatCode>
                <c:ptCount val="2"/>
                <c:pt idx="0">
                  <c:v>0.03</c:v>
                </c:pt>
                <c:pt idx="1">
                  <c:v>0.02</c:v>
                </c:pt>
              </c:numCache>
            </c:numRef>
          </c:yVal>
          <c:smooth val="0"/>
        </c:ser>
        <c:ser>
          <c:idx val="10"/>
          <c:order val="7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Data!$H$26:$H$36</c:f>
              <c:numCache>
                <c:formatCode>General</c:formatCode>
                <c:ptCount val="11"/>
                <c:pt idx="0">
                  <c:v>0.39</c:v>
                </c:pt>
                <c:pt idx="1">
                  <c:v>0.17</c:v>
                </c:pt>
                <c:pt idx="2" formatCode="0.0">
                  <c:v>0.7</c:v>
                </c:pt>
                <c:pt idx="3">
                  <c:v>0.17</c:v>
                </c:pt>
                <c:pt idx="4">
                  <c:v>0.17</c:v>
                </c:pt>
                <c:pt idx="5" formatCode="0.0">
                  <c:v>0.5</c:v>
                </c:pt>
                <c:pt idx="6">
                  <c:v>0.33</c:v>
                </c:pt>
                <c:pt idx="7">
                  <c:v>0.19</c:v>
                </c:pt>
                <c:pt idx="8" formatCode="0.0">
                  <c:v>56.2</c:v>
                </c:pt>
                <c:pt idx="9" formatCode="0.0">
                  <c:v>42.4</c:v>
                </c:pt>
                <c:pt idx="10">
                  <c:v>23.9</c:v>
                </c:pt>
              </c:numCache>
            </c:numRef>
          </c:xVal>
          <c:yVal>
            <c:numRef>
              <c:f>Data!$F$26:$F$36</c:f>
              <c:numCache>
                <c:formatCode>General</c:formatCode>
                <c:ptCount val="11"/>
                <c:pt idx="0">
                  <c:v>0.02</c:v>
                </c:pt>
                <c:pt idx="1">
                  <c:v>0.01</c:v>
                </c:pt>
                <c:pt idx="3">
                  <c:v>0.01</c:v>
                </c:pt>
                <c:pt idx="4">
                  <c:v>0.01</c:v>
                </c:pt>
                <c:pt idx="6">
                  <c:v>0.02</c:v>
                </c:pt>
                <c:pt idx="7">
                  <c:v>0.02</c:v>
                </c:pt>
                <c:pt idx="10">
                  <c:v>1.24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151176"/>
        <c:axId val="-2107162424"/>
      </c:scatterChart>
      <c:valAx>
        <c:axId val="-210715117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Pt (ppb)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07162424"/>
        <c:crossesAt val="0.01"/>
        <c:crossBetween val="midCat"/>
      </c:valAx>
      <c:valAx>
        <c:axId val="-2107162424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Rh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07151176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4130744283527"/>
          <c:y val="0.174127011968781"/>
          <c:w val="0.135420585095809"/>
          <c:h val="0.529571502521957"/>
        </c:manualLayout>
      </c:layout>
      <c:overlay val="0"/>
      <c:spPr>
        <a:solidFill>
          <a:srgbClr val="FFFFFF"/>
        </a:solidFill>
        <a:ln w="15875"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2"/>
          <c:order val="0"/>
          <c:tx>
            <c:v>Sill 2 A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Data!$H$22</c:f>
              <c:numCache>
                <c:formatCode>General</c:formatCode>
                <c:ptCount val="1"/>
                <c:pt idx="0">
                  <c:v>1.04</c:v>
                </c:pt>
              </c:numCache>
            </c:numRef>
          </c:xVal>
          <c:y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11"/>
          <c:order val="1"/>
          <c:tx>
            <c:v>MF-19 assays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Data!$H$68:$H$74</c:f>
              <c:numCache>
                <c:formatCode>General</c:formatCode>
                <c:ptCount val="7"/>
                <c:pt idx="0">
                  <c:v>333.0</c:v>
                </c:pt>
                <c:pt idx="1">
                  <c:v>104.0</c:v>
                </c:pt>
                <c:pt idx="2">
                  <c:v>6.0</c:v>
                </c:pt>
                <c:pt idx="3">
                  <c:v>575.0</c:v>
                </c:pt>
                <c:pt idx="4">
                  <c:v>840.0</c:v>
                </c:pt>
                <c:pt idx="5">
                  <c:v>16.0</c:v>
                </c:pt>
                <c:pt idx="6">
                  <c:v>481.0</c:v>
                </c:pt>
              </c:numCache>
            </c:numRef>
          </c:xVal>
          <c:yVal>
            <c:numRef>
              <c:f>Data!$F$68:$F$74</c:f>
              <c:numCache>
                <c:formatCode>General</c:formatCode>
                <c:ptCount val="7"/>
                <c:pt idx="0">
                  <c:v>89.0</c:v>
                </c:pt>
                <c:pt idx="1">
                  <c:v>28.0</c:v>
                </c:pt>
                <c:pt idx="2">
                  <c:v>4.0</c:v>
                </c:pt>
                <c:pt idx="3">
                  <c:v>78.0</c:v>
                </c:pt>
                <c:pt idx="4">
                  <c:v>76.0</c:v>
                </c:pt>
                <c:pt idx="5">
                  <c:v>4.0</c:v>
                </c:pt>
                <c:pt idx="6">
                  <c:v>127.0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Data!$H$38:$H$41</c:f>
              <c:numCache>
                <c:formatCode>General</c:formatCode>
                <c:ptCount val="4"/>
                <c:pt idx="0">
                  <c:v>0.22</c:v>
                </c:pt>
                <c:pt idx="1">
                  <c:v>238.0</c:v>
                </c:pt>
                <c:pt idx="2">
                  <c:v>99.5</c:v>
                </c:pt>
                <c:pt idx="3">
                  <c:v>0.55</c:v>
                </c:pt>
              </c:numCache>
            </c:numRef>
          </c:xVal>
          <c:yVal>
            <c:numRef>
              <c:f>Data!$F$38:$F$41</c:f>
              <c:numCache>
                <c:formatCode>General</c:formatCode>
                <c:ptCount val="4"/>
                <c:pt idx="0">
                  <c:v>0.02</c:v>
                </c:pt>
                <c:pt idx="1">
                  <c:v>26.3</c:v>
                </c:pt>
                <c:pt idx="2">
                  <c:v>0.13</c:v>
                </c:pt>
                <c:pt idx="3">
                  <c:v>0.04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Data!$H$6:$H$16</c:f>
              <c:numCache>
                <c:formatCode>General</c:formatCode>
                <c:ptCount val="11"/>
                <c:pt idx="0">
                  <c:v>0.26</c:v>
                </c:pt>
                <c:pt idx="1">
                  <c:v>0.2</c:v>
                </c:pt>
                <c:pt idx="2">
                  <c:v>0.17</c:v>
                </c:pt>
                <c:pt idx="3" formatCode="0.0">
                  <c:v>1.9</c:v>
                </c:pt>
                <c:pt idx="4">
                  <c:v>2.59</c:v>
                </c:pt>
                <c:pt idx="5" formatCode="0.0">
                  <c:v>100.6</c:v>
                </c:pt>
                <c:pt idx="6">
                  <c:v>610.0</c:v>
                </c:pt>
                <c:pt idx="7">
                  <c:v>961.0</c:v>
                </c:pt>
                <c:pt idx="8" formatCode="0.0">
                  <c:v>1022.0</c:v>
                </c:pt>
                <c:pt idx="9">
                  <c:v>730.0</c:v>
                </c:pt>
                <c:pt idx="10" formatCode="0.0">
                  <c:v>881.4</c:v>
                </c:pt>
              </c:numCache>
            </c:numRef>
          </c:xVal>
          <c:yVal>
            <c:numRef>
              <c:f>Data!$F$6:$F$16</c:f>
              <c:numCache>
                <c:formatCode>General</c:formatCode>
                <c:ptCount val="11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4">
                  <c:v>0.22</c:v>
                </c:pt>
                <c:pt idx="6">
                  <c:v>239.0</c:v>
                </c:pt>
                <c:pt idx="7">
                  <c:v>70.9</c:v>
                </c:pt>
                <c:pt idx="9">
                  <c:v>68.6</c:v>
                </c:pt>
              </c:numCache>
            </c:numRef>
          </c:yVal>
          <c:smooth val="0"/>
        </c:ser>
        <c:ser>
          <c:idx val="3"/>
          <c:order val="4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Data!$H$18:$H$19</c:f>
              <c:numCache>
                <c:formatCode>General</c:formatCode>
                <c:ptCount val="2"/>
                <c:pt idx="0">
                  <c:v>1.13</c:v>
                </c:pt>
                <c:pt idx="1">
                  <c:v>0.26</c:v>
                </c:pt>
              </c:numCache>
            </c:numRef>
          </c:xVal>
          <c:yVal>
            <c:numRef>
              <c:f>Data!$F$18:$F$19</c:f>
              <c:numCache>
                <c:formatCode>General</c:formatCode>
                <c:ptCount val="2"/>
                <c:pt idx="0">
                  <c:v>0.11</c:v>
                </c:pt>
                <c:pt idx="1">
                  <c:v>0.02</c:v>
                </c:pt>
              </c:numCache>
            </c:numRef>
          </c:yVal>
          <c:smooth val="0"/>
        </c:ser>
        <c:ser>
          <c:idx val="9"/>
          <c:order val="5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Data!$H$20:$H$22</c:f>
              <c:numCache>
                <c:formatCode>General</c:formatCode>
                <c:ptCount val="3"/>
                <c:pt idx="0">
                  <c:v>96.1</c:v>
                </c:pt>
                <c:pt idx="1">
                  <c:v>308.0</c:v>
                </c:pt>
                <c:pt idx="2">
                  <c:v>1.04</c:v>
                </c:pt>
              </c:numCache>
            </c:numRef>
          </c:xVal>
          <c:yVal>
            <c:numRef>
              <c:f>Data!$F$20:$F$22</c:f>
              <c:numCache>
                <c:formatCode>General</c:formatCode>
                <c:ptCount val="3"/>
                <c:pt idx="0">
                  <c:v>6.3</c:v>
                </c:pt>
                <c:pt idx="1">
                  <c:v>25.6</c:v>
                </c:pt>
                <c:pt idx="2">
                  <c:v>0.08</c:v>
                </c:pt>
              </c:numCache>
            </c:numRef>
          </c:yVal>
          <c:smooth val="0"/>
        </c:ser>
        <c:ser>
          <c:idx val="8"/>
          <c:order val="6"/>
          <c:tx>
            <c:v>MF93-Sill 3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Data!$H$24:$H$25</c:f>
              <c:numCache>
                <c:formatCode>General</c:formatCode>
                <c:ptCount val="2"/>
                <c:pt idx="0">
                  <c:v>0.92</c:v>
                </c:pt>
                <c:pt idx="1">
                  <c:v>0.62</c:v>
                </c:pt>
              </c:numCache>
            </c:numRef>
          </c:xVal>
          <c:yVal>
            <c:numRef>
              <c:f>Data!$G$24:$G$25</c:f>
              <c:numCache>
                <c:formatCode>General</c:formatCode>
                <c:ptCount val="2"/>
                <c:pt idx="0">
                  <c:v>0.99</c:v>
                </c:pt>
                <c:pt idx="1">
                  <c:v>0.73</c:v>
                </c:pt>
              </c:numCache>
            </c:numRef>
          </c:yVal>
          <c:smooth val="0"/>
        </c:ser>
        <c:ser>
          <c:idx val="10"/>
          <c:order val="7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Data!$H$26:$H$36</c:f>
              <c:numCache>
                <c:formatCode>General</c:formatCode>
                <c:ptCount val="11"/>
                <c:pt idx="0">
                  <c:v>0.39</c:v>
                </c:pt>
                <c:pt idx="1">
                  <c:v>0.17</c:v>
                </c:pt>
                <c:pt idx="2" formatCode="0.0">
                  <c:v>0.7</c:v>
                </c:pt>
                <c:pt idx="3">
                  <c:v>0.17</c:v>
                </c:pt>
                <c:pt idx="4">
                  <c:v>0.17</c:v>
                </c:pt>
                <c:pt idx="5" formatCode="0.0">
                  <c:v>0.5</c:v>
                </c:pt>
                <c:pt idx="6">
                  <c:v>0.33</c:v>
                </c:pt>
                <c:pt idx="7">
                  <c:v>0.19</c:v>
                </c:pt>
                <c:pt idx="8" formatCode="0.0">
                  <c:v>56.2</c:v>
                </c:pt>
                <c:pt idx="9" formatCode="0.0">
                  <c:v>42.4</c:v>
                </c:pt>
                <c:pt idx="10">
                  <c:v>23.9</c:v>
                </c:pt>
              </c:numCache>
            </c:numRef>
          </c:xVal>
          <c:yVal>
            <c:numRef>
              <c:f>Data!$F$26:$F$36</c:f>
              <c:numCache>
                <c:formatCode>General</c:formatCode>
                <c:ptCount val="11"/>
                <c:pt idx="0">
                  <c:v>0.02</c:v>
                </c:pt>
                <c:pt idx="1">
                  <c:v>0.01</c:v>
                </c:pt>
                <c:pt idx="3">
                  <c:v>0.01</c:v>
                </c:pt>
                <c:pt idx="4">
                  <c:v>0.01</c:v>
                </c:pt>
                <c:pt idx="6">
                  <c:v>0.02</c:v>
                </c:pt>
                <c:pt idx="7">
                  <c:v>0.02</c:v>
                </c:pt>
                <c:pt idx="10">
                  <c:v>1.24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6608008"/>
        <c:axId val="-2096619352"/>
      </c:scatterChart>
      <c:valAx>
        <c:axId val="-2096608008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Pt (ppb)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619352"/>
        <c:crossesAt val="0.01"/>
        <c:crossBetween val="midCat"/>
      </c:valAx>
      <c:valAx>
        <c:axId val="-2096619352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Ir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60800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4130744283527"/>
          <c:y val="0.174127011968781"/>
          <c:w val="0.135420585095809"/>
          <c:h val="0.529571502521957"/>
        </c:manualLayout>
      </c:layout>
      <c:overlay val="0"/>
      <c:spPr>
        <a:solidFill>
          <a:srgbClr val="FFFFFF"/>
        </a:solidFill>
        <a:ln w="15875">
          <a:solidFill>
            <a:schemeClr val="tx1"/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MF-23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'MF-23 Assays'!$C$31:$C$40</c:f>
              <c:numCache>
                <c:formatCode>General</c:formatCode>
                <c:ptCount val="10"/>
                <c:pt idx="0">
                  <c:v>0.15</c:v>
                </c:pt>
                <c:pt idx="1">
                  <c:v>0.54</c:v>
                </c:pt>
                <c:pt idx="2">
                  <c:v>0.12</c:v>
                </c:pt>
                <c:pt idx="3">
                  <c:v>6.25</c:v>
                </c:pt>
                <c:pt idx="4">
                  <c:v>1.56</c:v>
                </c:pt>
                <c:pt idx="5">
                  <c:v>0.07</c:v>
                </c:pt>
                <c:pt idx="6">
                  <c:v>8.2</c:v>
                </c:pt>
                <c:pt idx="7">
                  <c:v>9.55</c:v>
                </c:pt>
                <c:pt idx="8">
                  <c:v>0.43</c:v>
                </c:pt>
                <c:pt idx="9">
                  <c:v>12.1</c:v>
                </c:pt>
              </c:numCache>
            </c:numRef>
          </c:xVal>
          <c:yVal>
            <c:numRef>
              <c:f>'MF-23 Assays'!$A$31:$A$40</c:f>
              <c:numCache>
                <c:formatCode>General</c:formatCode>
                <c:ptCount val="10"/>
                <c:pt idx="0">
                  <c:v>32.4</c:v>
                </c:pt>
                <c:pt idx="1">
                  <c:v>33.5</c:v>
                </c:pt>
                <c:pt idx="2">
                  <c:v>34.7</c:v>
                </c:pt>
                <c:pt idx="3">
                  <c:v>35.9</c:v>
                </c:pt>
                <c:pt idx="4">
                  <c:v>36.7</c:v>
                </c:pt>
                <c:pt idx="5">
                  <c:v>37.7</c:v>
                </c:pt>
                <c:pt idx="6">
                  <c:v>38.6</c:v>
                </c:pt>
                <c:pt idx="7">
                  <c:v>39.3</c:v>
                </c:pt>
                <c:pt idx="8">
                  <c:v>40.0</c:v>
                </c:pt>
                <c:pt idx="9">
                  <c:v>41.1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3762472"/>
        <c:axId val="-2093144632"/>
      </c:scatterChart>
      <c:valAx>
        <c:axId val="-209376247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 (wt%)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-2093144632"/>
        <c:crosses val="max"/>
        <c:crossBetween val="midCat"/>
      </c:valAx>
      <c:valAx>
        <c:axId val="-2093144632"/>
        <c:scaling>
          <c:orientation val="maxMin"/>
          <c:min val="3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-2093762472"/>
        <c:crossesAt val="0.001"/>
        <c:crossBetween val="midCat"/>
      </c:valAx>
      <c:spPr>
        <a:solidFill>
          <a:schemeClr val="bg1"/>
        </a:solidFill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04176438653637"/>
          <c:y val="0.0826967971530249"/>
          <c:w val="0.112587947882736"/>
          <c:h val="0.06175943060498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MF23-Siil2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Data!$P$49:$P$55</c:f>
              <c:numCache>
                <c:formatCode>General</c:formatCode>
                <c:ptCount val="7"/>
                <c:pt idx="0">
                  <c:v>5217.391304347826</c:v>
                </c:pt>
                <c:pt idx="1">
                  <c:v>2041.420118343195</c:v>
                </c:pt>
                <c:pt idx="2">
                  <c:v>2071.895424836601</c:v>
                </c:pt>
                <c:pt idx="3">
                  <c:v>2305.882352941176</c:v>
                </c:pt>
                <c:pt idx="4">
                  <c:v>4126.58227848101</c:v>
                </c:pt>
                <c:pt idx="5">
                  <c:v>1939.890710382514</c:v>
                </c:pt>
                <c:pt idx="6">
                  <c:v>2409.836065573771</c:v>
                </c:pt>
              </c:numCache>
            </c:numRef>
          </c:xVal>
          <c:yVal>
            <c:numRef>
              <c:f>Data!$C$49:$C$55</c:f>
              <c:numCache>
                <c:formatCode>General</c:formatCode>
                <c:ptCount val="7"/>
                <c:pt idx="0">
                  <c:v>64.8</c:v>
                </c:pt>
                <c:pt idx="1">
                  <c:v>65.3</c:v>
                </c:pt>
                <c:pt idx="2">
                  <c:v>65.5</c:v>
                </c:pt>
                <c:pt idx="3">
                  <c:v>65.6</c:v>
                </c:pt>
                <c:pt idx="4">
                  <c:v>74.5</c:v>
                </c:pt>
                <c:pt idx="5">
                  <c:v>74.6</c:v>
                </c:pt>
                <c:pt idx="6">
                  <c:v>75.0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559608"/>
        <c:axId val="2114814008"/>
      </c:scatterChart>
      <c:valAx>
        <c:axId val="2118559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4814008"/>
        <c:crosses val="max"/>
        <c:crossBetween val="midCat"/>
      </c:valAx>
      <c:valAx>
        <c:axId val="211481400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8559608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MF-23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'MF-23 Assays'!$C$4:$C$22</c:f>
              <c:numCache>
                <c:formatCode>General</c:formatCode>
                <c:ptCount val="19"/>
                <c:pt idx="0">
                  <c:v>4.2</c:v>
                </c:pt>
                <c:pt idx="1">
                  <c:v>10.3</c:v>
                </c:pt>
                <c:pt idx="2">
                  <c:v>1.54</c:v>
                </c:pt>
                <c:pt idx="3">
                  <c:v>0.006</c:v>
                </c:pt>
                <c:pt idx="4">
                  <c:v>0.45</c:v>
                </c:pt>
                <c:pt idx="5">
                  <c:v>0.06</c:v>
                </c:pt>
                <c:pt idx="6">
                  <c:v>0.03</c:v>
                </c:pt>
                <c:pt idx="7">
                  <c:v>0.12</c:v>
                </c:pt>
                <c:pt idx="8">
                  <c:v>1.03</c:v>
                </c:pt>
                <c:pt idx="9">
                  <c:v>8.5</c:v>
                </c:pt>
                <c:pt idx="10">
                  <c:v>0.34</c:v>
                </c:pt>
                <c:pt idx="11">
                  <c:v>0.05</c:v>
                </c:pt>
                <c:pt idx="12">
                  <c:v>0.01</c:v>
                </c:pt>
                <c:pt idx="13">
                  <c:v>0.03</c:v>
                </c:pt>
                <c:pt idx="14">
                  <c:v>0.01</c:v>
                </c:pt>
                <c:pt idx="15">
                  <c:v>0.01</c:v>
                </c:pt>
                <c:pt idx="16">
                  <c:v>0.4</c:v>
                </c:pt>
                <c:pt idx="17">
                  <c:v>8.05</c:v>
                </c:pt>
                <c:pt idx="18">
                  <c:v>1.46</c:v>
                </c:pt>
              </c:numCache>
            </c:numRef>
          </c:xVal>
          <c:yVal>
            <c:numRef>
              <c:f>'MF-23 Assays'!$A$4:$A$22</c:f>
              <c:numCache>
                <c:formatCode>General</c:formatCode>
                <c:ptCount val="19"/>
                <c:pt idx="0">
                  <c:v>64.1</c:v>
                </c:pt>
                <c:pt idx="1">
                  <c:v>64.7</c:v>
                </c:pt>
                <c:pt idx="2">
                  <c:v>65.3</c:v>
                </c:pt>
                <c:pt idx="3">
                  <c:v>65.6</c:v>
                </c:pt>
                <c:pt idx="4">
                  <c:v>66.1</c:v>
                </c:pt>
                <c:pt idx="5">
                  <c:v>66.6</c:v>
                </c:pt>
                <c:pt idx="6">
                  <c:v>67.6</c:v>
                </c:pt>
                <c:pt idx="7">
                  <c:v>68.7</c:v>
                </c:pt>
                <c:pt idx="8">
                  <c:v>69.0</c:v>
                </c:pt>
                <c:pt idx="9">
                  <c:v>69.3</c:v>
                </c:pt>
                <c:pt idx="10">
                  <c:v>69.5</c:v>
                </c:pt>
                <c:pt idx="11">
                  <c:v>69.9</c:v>
                </c:pt>
                <c:pt idx="12">
                  <c:v>70.9</c:v>
                </c:pt>
                <c:pt idx="13">
                  <c:v>72.0</c:v>
                </c:pt>
                <c:pt idx="14">
                  <c:v>72.4</c:v>
                </c:pt>
                <c:pt idx="15">
                  <c:v>73.4</c:v>
                </c:pt>
                <c:pt idx="16">
                  <c:v>74.4</c:v>
                </c:pt>
                <c:pt idx="17">
                  <c:v>74.5</c:v>
                </c:pt>
                <c:pt idx="18">
                  <c:v>75.0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065096"/>
        <c:axId val="2082073016"/>
      </c:scatterChart>
      <c:valAx>
        <c:axId val="208206509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 (wt%)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082073016"/>
        <c:crosses val="max"/>
        <c:crossBetween val="midCat"/>
      </c:valAx>
      <c:valAx>
        <c:axId val="2082073016"/>
        <c:scaling>
          <c:orientation val="maxMin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082065096"/>
        <c:crossesAt val="0.001"/>
        <c:crossBetween val="midCat"/>
      </c:valAx>
      <c:spPr>
        <a:solidFill>
          <a:schemeClr val="bg1"/>
        </a:solidFill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04176438653637"/>
          <c:y val="0.0826967971530249"/>
          <c:w val="0.112587947882736"/>
          <c:h val="0.06175943060498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MF-23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'MF-23 Assays'!$H$4:$H$22</c:f>
              <c:numCache>
                <c:formatCode>0.00</c:formatCode>
                <c:ptCount val="19"/>
                <c:pt idx="0">
                  <c:v>3.68421052631579</c:v>
                </c:pt>
                <c:pt idx="1">
                  <c:v>3.491525423728814</c:v>
                </c:pt>
                <c:pt idx="2">
                  <c:v>0.77</c:v>
                </c:pt>
                <c:pt idx="3">
                  <c:v>0.3</c:v>
                </c:pt>
                <c:pt idx="4">
                  <c:v>0.703125</c:v>
                </c:pt>
                <c:pt idx="5">
                  <c:v>1.0</c:v>
                </c:pt>
                <c:pt idx="6">
                  <c:v>3.0</c:v>
                </c:pt>
                <c:pt idx="7">
                  <c:v>0.666666666666667</c:v>
                </c:pt>
                <c:pt idx="8">
                  <c:v>2.10204081632653</c:v>
                </c:pt>
                <c:pt idx="9">
                  <c:v>4.829545454545454</c:v>
                </c:pt>
                <c:pt idx="10">
                  <c:v>6.8</c:v>
                </c:pt>
                <c:pt idx="11">
                  <c:v>1.666666666666667</c:v>
                </c:pt>
                <c:pt idx="12">
                  <c:v>1.0</c:v>
                </c:pt>
                <c:pt idx="13">
                  <c:v>0.75</c:v>
                </c:pt>
                <c:pt idx="14">
                  <c:v>1.0</c:v>
                </c:pt>
                <c:pt idx="15">
                  <c:v>5.0</c:v>
                </c:pt>
                <c:pt idx="16">
                  <c:v>1.428571428571429</c:v>
                </c:pt>
                <c:pt idx="17">
                  <c:v>1.248062015503876</c:v>
                </c:pt>
                <c:pt idx="18">
                  <c:v>2.654545454545454</c:v>
                </c:pt>
              </c:numCache>
            </c:numRef>
          </c:xVal>
          <c:yVal>
            <c:numRef>
              <c:f>'MF-23 Assays'!$A$4:$A$22</c:f>
              <c:numCache>
                <c:formatCode>General</c:formatCode>
                <c:ptCount val="19"/>
                <c:pt idx="0">
                  <c:v>64.1</c:v>
                </c:pt>
                <c:pt idx="1">
                  <c:v>64.7</c:v>
                </c:pt>
                <c:pt idx="2">
                  <c:v>65.3</c:v>
                </c:pt>
                <c:pt idx="3">
                  <c:v>65.6</c:v>
                </c:pt>
                <c:pt idx="4">
                  <c:v>66.1</c:v>
                </c:pt>
                <c:pt idx="5">
                  <c:v>66.6</c:v>
                </c:pt>
                <c:pt idx="6">
                  <c:v>67.6</c:v>
                </c:pt>
                <c:pt idx="7">
                  <c:v>68.7</c:v>
                </c:pt>
                <c:pt idx="8">
                  <c:v>69.0</c:v>
                </c:pt>
                <c:pt idx="9">
                  <c:v>69.3</c:v>
                </c:pt>
                <c:pt idx="10">
                  <c:v>69.5</c:v>
                </c:pt>
                <c:pt idx="11">
                  <c:v>69.9</c:v>
                </c:pt>
                <c:pt idx="12">
                  <c:v>70.9</c:v>
                </c:pt>
                <c:pt idx="13">
                  <c:v>72.0</c:v>
                </c:pt>
                <c:pt idx="14">
                  <c:v>72.4</c:v>
                </c:pt>
                <c:pt idx="15">
                  <c:v>73.4</c:v>
                </c:pt>
                <c:pt idx="16">
                  <c:v>74.4</c:v>
                </c:pt>
                <c:pt idx="17">
                  <c:v>74.5</c:v>
                </c:pt>
                <c:pt idx="18">
                  <c:v>75.0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111240"/>
        <c:axId val="2082119160"/>
      </c:scatterChart>
      <c:valAx>
        <c:axId val="208211124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Ni/Cu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082119160"/>
        <c:crosses val="max"/>
        <c:crossBetween val="midCat"/>
      </c:valAx>
      <c:valAx>
        <c:axId val="2082119160"/>
        <c:scaling>
          <c:orientation val="maxMin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082111240"/>
        <c:crossesAt val="0.001"/>
        <c:crossBetween val="midCat"/>
      </c:valAx>
      <c:spPr>
        <a:solidFill>
          <a:schemeClr val="bg1"/>
        </a:solidFill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04176438653637"/>
          <c:y val="0.0826967971530249"/>
          <c:w val="0.112587947882736"/>
          <c:h val="0.06175943060498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Data!$DN$26:$DN$36</c:f>
              <c:numCache>
                <c:formatCode>0.00</c:formatCode>
                <c:ptCount val="11"/>
                <c:pt idx="0">
                  <c:v>0.649704793355349</c:v>
                </c:pt>
                <c:pt idx="1">
                  <c:v>0.814086691712204</c:v>
                </c:pt>
                <c:pt idx="3">
                  <c:v>0.72155929403582</c:v>
                </c:pt>
                <c:pt idx="4">
                  <c:v>0.674006504499688</c:v>
                </c:pt>
                <c:pt idx="6">
                  <c:v>0.770285637835307</c:v>
                </c:pt>
                <c:pt idx="7">
                  <c:v>0.748936735778841</c:v>
                </c:pt>
                <c:pt idx="10">
                  <c:v>0.30359355638166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159288"/>
        <c:axId val="2082164680"/>
      </c:scatterChart>
      <c:valAx>
        <c:axId val="2082159288"/>
        <c:scaling>
          <c:orientation val="minMax"/>
        </c:scaling>
        <c:delete val="0"/>
        <c:axPos val="b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164680"/>
        <c:crosses val="max"/>
        <c:crossBetween val="midCat"/>
      </c:valAx>
      <c:valAx>
        <c:axId val="20821646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159288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34482758621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206792"/>
        <c:axId val="2082214920"/>
      </c:scatterChart>
      <c:valAx>
        <c:axId val="20822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214920"/>
        <c:crosses val="max"/>
        <c:crossBetween val="midCat"/>
      </c:valAx>
      <c:valAx>
        <c:axId val="20822149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206792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2400651465798"/>
          <c:y val="0.0226199288256228"/>
          <c:w val="0.825403529731197"/>
          <c:h val="0.913279737938499"/>
        </c:manualLayout>
      </c:layout>
      <c:lineChart>
        <c:grouping val="standard"/>
        <c:varyColors val="0"/>
        <c:ser>
          <c:idx val="2"/>
          <c:order val="0"/>
          <c:tx>
            <c:v>MF95-121.8-Min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Data!$CJ$38:$CX$38</c:f>
              <c:numCache>
                <c:formatCode>0.00</c:formatCode>
                <c:ptCount val="15"/>
                <c:pt idx="0">
                  <c:v>173.502166442552</c:v>
                </c:pt>
                <c:pt idx="1">
                  <c:v>15.3074600610607</c:v>
                </c:pt>
                <c:pt idx="2">
                  <c:v>5.890675600375476</c:v>
                </c:pt>
                <c:pt idx="3">
                  <c:v>9.389992861530286</c:v>
                </c:pt>
                <c:pt idx="4">
                  <c:v>7.747011245877291</c:v>
                </c:pt>
                <c:pt idx="5">
                  <c:v>3.100851636037651</c:v>
                </c:pt>
                <c:pt idx="6">
                  <c:v>2.928132369602382</c:v>
                </c:pt>
                <c:pt idx="7">
                  <c:v>6.659961624489668</c:v>
                </c:pt>
                <c:pt idx="8">
                  <c:v>6.296557170604682</c:v>
                </c:pt>
                <c:pt idx="9">
                  <c:v>5.838937541399949</c:v>
                </c:pt>
                <c:pt idx="10">
                  <c:v>3.922008068130883</c:v>
                </c:pt>
                <c:pt idx="11">
                  <c:v>6.799657895430695</c:v>
                </c:pt>
                <c:pt idx="12">
                  <c:v>6.690190956404693</c:v>
                </c:pt>
                <c:pt idx="13">
                  <c:v>6.352476212112839</c:v>
                </c:pt>
                <c:pt idx="14">
                  <c:v>5.867130955176034</c:v>
                </c:pt>
              </c:numCache>
            </c:numRef>
          </c:val>
          <c:smooth val="0"/>
        </c:ser>
        <c:ser>
          <c:idx val="3"/>
          <c:order val="1"/>
          <c:tx>
            <c:v>MF81A-163.5 Min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Data!$CJ$6:$CX$6</c:f>
              <c:numCache>
                <c:formatCode>0.00</c:formatCode>
                <c:ptCount val="15"/>
                <c:pt idx="0">
                  <c:v>64.64733796410007</c:v>
                </c:pt>
                <c:pt idx="1">
                  <c:v>10.95684078663592</c:v>
                </c:pt>
                <c:pt idx="2">
                  <c:v>4.562719656846689</c:v>
                </c:pt>
                <c:pt idx="3">
                  <c:v>6.370973444715292</c:v>
                </c:pt>
                <c:pt idx="4">
                  <c:v>5.742389317865443</c:v>
                </c:pt>
                <c:pt idx="5">
                  <c:v>2.401815627364098</c:v>
                </c:pt>
                <c:pt idx="6">
                  <c:v>16.56939186367371</c:v>
                </c:pt>
                <c:pt idx="7">
                  <c:v>5.512790685912542</c:v>
                </c:pt>
                <c:pt idx="8">
                  <c:v>4.73462918075476</c:v>
                </c:pt>
                <c:pt idx="9">
                  <c:v>4.613515364507014</c:v>
                </c:pt>
                <c:pt idx="10">
                  <c:v>4.870305313404847</c:v>
                </c:pt>
                <c:pt idx="11">
                  <c:v>5.840713027889204</c:v>
                </c:pt>
                <c:pt idx="12">
                  <c:v>5.963259650170398</c:v>
                </c:pt>
                <c:pt idx="13">
                  <c:v>5.778700922371466</c:v>
                </c:pt>
                <c:pt idx="14">
                  <c:v>5.415906050449286</c:v>
                </c:pt>
              </c:numCache>
            </c:numRef>
          </c:val>
          <c:smooth val="0"/>
        </c:ser>
        <c:ser>
          <c:idx val="5"/>
          <c:order val="2"/>
          <c:tx>
            <c:v>MF83-143.7-Min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diamond"/>
            <c:size val="8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Data!$CJ$58:$CX$58</c:f>
              <c:numCache>
                <c:formatCode>0.00</c:formatCode>
                <c:ptCount val="15"/>
                <c:pt idx="0">
                  <c:v>86.45657718410929</c:v>
                </c:pt>
                <c:pt idx="1">
                  <c:v>13.80293685087376</c:v>
                </c:pt>
                <c:pt idx="2">
                  <c:v>4.169200150624862</c:v>
                </c:pt>
                <c:pt idx="3">
                  <c:v>5.588272350041251</c:v>
                </c:pt>
                <c:pt idx="4">
                  <c:v>6.682269547685691</c:v>
                </c:pt>
                <c:pt idx="5">
                  <c:v>5.003840667178756</c:v>
                </c:pt>
                <c:pt idx="6">
                  <c:v>8.155558876352575</c:v>
                </c:pt>
                <c:pt idx="7">
                  <c:v>5.243416134261725</c:v>
                </c:pt>
                <c:pt idx="8">
                  <c:v>5.194045136983797</c:v>
                </c:pt>
                <c:pt idx="9">
                  <c:v>2.564909668743687</c:v>
                </c:pt>
                <c:pt idx="10">
                  <c:v>5.771689081246856</c:v>
                </c:pt>
                <c:pt idx="11">
                  <c:v>5.587525254807289</c:v>
                </c:pt>
                <c:pt idx="12">
                  <c:v>5.796004729279364</c:v>
                </c:pt>
                <c:pt idx="13">
                  <c:v>4.559696193956448</c:v>
                </c:pt>
                <c:pt idx="14">
                  <c:v>5.15074898608626</c:v>
                </c:pt>
              </c:numCache>
            </c:numRef>
          </c:val>
          <c:smooth val="0"/>
        </c:ser>
        <c:ser>
          <c:idx val="0"/>
          <c:order val="3"/>
          <c:tx>
            <c:v>MF23-48.35-Barren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Data!$CJ$46:$CX$46</c:f>
              <c:numCache>
                <c:formatCode>0.00</c:formatCode>
                <c:ptCount val="15"/>
                <c:pt idx="0">
                  <c:v>87.946336015195</c:v>
                </c:pt>
                <c:pt idx="1">
                  <c:v>13.88061835378643</c:v>
                </c:pt>
                <c:pt idx="2">
                  <c:v>5.198903333268488</c:v>
                </c:pt>
                <c:pt idx="3">
                  <c:v>10.72856126928076</c:v>
                </c:pt>
                <c:pt idx="4">
                  <c:v>7.312806964954526</c:v>
                </c:pt>
                <c:pt idx="5">
                  <c:v>5.738247627455308</c:v>
                </c:pt>
                <c:pt idx="6">
                  <c:v>7.890922278574512</c:v>
                </c:pt>
                <c:pt idx="7">
                  <c:v>4.838045081882554</c:v>
                </c:pt>
                <c:pt idx="8">
                  <c:v>5.265315130687014</c:v>
                </c:pt>
                <c:pt idx="9">
                  <c:v>2.74468732539752</c:v>
                </c:pt>
                <c:pt idx="10">
                  <c:v>4.872637845491521</c:v>
                </c:pt>
                <c:pt idx="11">
                  <c:v>5.456690511119477</c:v>
                </c:pt>
                <c:pt idx="12">
                  <c:v>6.008721979217354</c:v>
                </c:pt>
                <c:pt idx="13">
                  <c:v>5.643517160827139</c:v>
                </c:pt>
                <c:pt idx="14">
                  <c:v>5.154713985940143</c:v>
                </c:pt>
              </c:numCache>
            </c:numRef>
          </c:val>
          <c:smooth val="0"/>
        </c:ser>
        <c:ser>
          <c:idx val="1"/>
          <c:order val="4"/>
          <c:tx>
            <c:v>MF93-323.3-Barren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Data!$CJ$26:$CX$26</c:f>
              <c:numCache>
                <c:formatCode>0.00</c:formatCode>
                <c:ptCount val="15"/>
                <c:pt idx="0">
                  <c:v>22.90088383838384</c:v>
                </c:pt>
                <c:pt idx="1">
                  <c:v>11.51729559748428</c:v>
                </c:pt>
                <c:pt idx="2">
                  <c:v>5.113348530901723</c:v>
                </c:pt>
                <c:pt idx="3">
                  <c:v>5.111882716049383</c:v>
                </c:pt>
                <c:pt idx="4">
                  <c:v>4.838308457711443</c:v>
                </c:pt>
                <c:pt idx="5">
                  <c:v>2.691666666666667</c:v>
                </c:pt>
                <c:pt idx="6">
                  <c:v>9.46398659966499</c:v>
                </c:pt>
                <c:pt idx="7">
                  <c:v>5.323788998357964</c:v>
                </c:pt>
                <c:pt idx="8">
                  <c:v>4.563492063492064</c:v>
                </c:pt>
                <c:pt idx="9">
                  <c:v>5.208333333333333</c:v>
                </c:pt>
                <c:pt idx="10">
                  <c:v>5.296266233766234</c:v>
                </c:pt>
                <c:pt idx="11">
                  <c:v>6.740196078431373</c:v>
                </c:pt>
                <c:pt idx="12">
                  <c:v>7.766135014836796</c:v>
                </c:pt>
                <c:pt idx="13">
                  <c:v>8.240582191780822</c:v>
                </c:pt>
                <c:pt idx="14">
                  <c:v>7.868008314436887</c:v>
                </c:pt>
              </c:numCache>
            </c:numRef>
          </c:val>
          <c:smooth val="0"/>
        </c:ser>
        <c:ser>
          <c:idx val="4"/>
          <c:order val="5"/>
          <c:tx>
            <c:v>MF93-368.86-Barren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Data!$CJ$10:$CX$10</c:f>
              <c:numCache>
                <c:formatCode>0.00</c:formatCode>
                <c:ptCount val="15"/>
                <c:pt idx="0">
                  <c:v>11.51663298095611</c:v>
                </c:pt>
                <c:pt idx="1">
                  <c:v>7.774700597158499</c:v>
                </c:pt>
                <c:pt idx="2">
                  <c:v>4.171326534908412</c:v>
                </c:pt>
                <c:pt idx="3">
                  <c:v>5.460782242685783</c:v>
                </c:pt>
                <c:pt idx="4">
                  <c:v>4.90621042152756</c:v>
                </c:pt>
                <c:pt idx="5">
                  <c:v>2.195786287975788</c:v>
                </c:pt>
                <c:pt idx="6">
                  <c:v>7.609927182180252</c:v>
                </c:pt>
                <c:pt idx="7">
                  <c:v>4.770716060397722</c:v>
                </c:pt>
                <c:pt idx="8">
                  <c:v>4.656035385868932</c:v>
                </c:pt>
                <c:pt idx="9">
                  <c:v>4.538970592090826</c:v>
                </c:pt>
                <c:pt idx="10">
                  <c:v>4.882790355959951</c:v>
                </c:pt>
                <c:pt idx="11">
                  <c:v>4.730925660917374</c:v>
                </c:pt>
                <c:pt idx="12">
                  <c:v>4.902998687122364</c:v>
                </c:pt>
                <c:pt idx="13">
                  <c:v>4.77828289029243</c:v>
                </c:pt>
                <c:pt idx="14">
                  <c:v>4.78273022630074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208904"/>
        <c:axId val="-2107215448"/>
      </c:lineChart>
      <c:catAx>
        <c:axId val="-21072089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-2107215448"/>
        <c:crossesAt val="0.1"/>
        <c:auto val="1"/>
        <c:lblAlgn val="ctr"/>
        <c:lblOffset val="100"/>
        <c:noMultiLvlLbl val="0"/>
      </c:catAx>
      <c:valAx>
        <c:axId val="-2107215448"/>
        <c:scaling>
          <c:logBase val="10.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Sample/Primitive</a:t>
                </a:r>
                <a:r>
                  <a:rPr lang="en-US" b="0" baseline="0"/>
                  <a:t> Mantle</a:t>
                </a:r>
                <a:endParaRPr lang="en-US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-210720890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89195439739414"/>
          <c:y val="0.0672565836298932"/>
          <c:w val="0.195695031224545"/>
          <c:h val="0.31961538386201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 81A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Data!$K$6:$K$16</c:f>
              <c:numCache>
                <c:formatCode>General</c:formatCode>
                <c:ptCount val="11"/>
                <c:pt idx="0">
                  <c:v>82.6</c:v>
                </c:pt>
                <c:pt idx="1">
                  <c:v>63.5</c:v>
                </c:pt>
                <c:pt idx="2">
                  <c:v>122.8</c:v>
                </c:pt>
                <c:pt idx="3" formatCode="0">
                  <c:v>114.3</c:v>
                </c:pt>
                <c:pt idx="4">
                  <c:v>190.5</c:v>
                </c:pt>
                <c:pt idx="5" formatCode="0">
                  <c:v>3268.9</c:v>
                </c:pt>
                <c:pt idx="6">
                  <c:v>40000.0</c:v>
                </c:pt>
                <c:pt idx="7">
                  <c:v>37000.0</c:v>
                </c:pt>
                <c:pt idx="8" formatCode="0">
                  <c:v>24400.0</c:v>
                </c:pt>
                <c:pt idx="9">
                  <c:v>37000.0</c:v>
                </c:pt>
                <c:pt idx="10" formatCode="0">
                  <c:v>37300.0</c:v>
                </c:pt>
              </c:numCache>
            </c:numRef>
          </c:xVal>
          <c:yVal>
            <c:numRef>
              <c:f>Data!$C$6:$C$16</c:f>
              <c:numCache>
                <c:formatCode>General</c:formatCode>
                <c:ptCount val="11"/>
                <c:pt idx="0">
                  <c:v>163.5</c:v>
                </c:pt>
                <c:pt idx="1">
                  <c:v>164.2</c:v>
                </c:pt>
                <c:pt idx="2">
                  <c:v>167.45</c:v>
                </c:pt>
                <c:pt idx="3">
                  <c:v>169.2</c:v>
                </c:pt>
                <c:pt idx="4">
                  <c:v>170.9</c:v>
                </c:pt>
                <c:pt idx="5">
                  <c:v>171.5</c:v>
                </c:pt>
                <c:pt idx="6">
                  <c:v>174.25</c:v>
                </c:pt>
                <c:pt idx="7">
                  <c:v>174.4</c:v>
                </c:pt>
                <c:pt idx="8">
                  <c:v>174.44</c:v>
                </c:pt>
                <c:pt idx="9">
                  <c:v>174.5</c:v>
                </c:pt>
                <c:pt idx="10">
                  <c:v>174.52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080392"/>
        <c:axId val="-2079086072"/>
      </c:scatterChart>
      <c:valAx>
        <c:axId val="-2079080392"/>
        <c:scaling>
          <c:logBase val="10.0"/>
          <c:orientation val="minMax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086072"/>
        <c:crosses val="max"/>
        <c:crossBetween val="midCat"/>
      </c:valAx>
      <c:valAx>
        <c:axId val="-20790860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9080392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655172413793"/>
          <c:y val="0.762443438914027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36699239957"/>
          <c:y val="0.040706715593076"/>
          <c:w val="0.800582736156352"/>
          <c:h val="0.86245409252669"/>
        </c:manualLayout>
      </c:layout>
      <c:lineChart>
        <c:grouping val="standard"/>
        <c:varyColors val="0"/>
        <c:ser>
          <c:idx val="0"/>
          <c:order val="0"/>
          <c:tx>
            <c:v>MF23-Sill 1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Data!$CJ$46:$CX$46</c:f>
              <c:numCache>
                <c:formatCode>0.00</c:formatCode>
                <c:ptCount val="15"/>
                <c:pt idx="0">
                  <c:v>87.946336015195</c:v>
                </c:pt>
                <c:pt idx="1">
                  <c:v>13.88061835378643</c:v>
                </c:pt>
                <c:pt idx="2">
                  <c:v>5.198903333268488</c:v>
                </c:pt>
                <c:pt idx="3">
                  <c:v>10.72856126928076</c:v>
                </c:pt>
                <c:pt idx="4">
                  <c:v>7.312806964954526</c:v>
                </c:pt>
                <c:pt idx="5">
                  <c:v>5.738247627455308</c:v>
                </c:pt>
                <c:pt idx="6">
                  <c:v>7.890922278574512</c:v>
                </c:pt>
                <c:pt idx="7">
                  <c:v>4.838045081882554</c:v>
                </c:pt>
                <c:pt idx="8">
                  <c:v>5.265315130687014</c:v>
                </c:pt>
                <c:pt idx="9">
                  <c:v>2.74468732539752</c:v>
                </c:pt>
                <c:pt idx="10">
                  <c:v>4.872637845491521</c:v>
                </c:pt>
                <c:pt idx="11">
                  <c:v>5.456690511119477</c:v>
                </c:pt>
                <c:pt idx="12">
                  <c:v>6.008721979217354</c:v>
                </c:pt>
                <c:pt idx="13">
                  <c:v>5.643517160827139</c:v>
                </c:pt>
                <c:pt idx="14">
                  <c:v>5.154713985940143</c:v>
                </c:pt>
              </c:numCache>
            </c:numRef>
          </c:val>
          <c:smooth val="0"/>
        </c:ser>
        <c:ser>
          <c:idx val="1"/>
          <c:order val="1"/>
          <c:tx>
            <c:v>MF93-Sill4-323.3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Data!$CJ$26:$CX$26</c:f>
              <c:numCache>
                <c:formatCode>0.00</c:formatCode>
                <c:ptCount val="15"/>
                <c:pt idx="0">
                  <c:v>22.90088383838384</c:v>
                </c:pt>
                <c:pt idx="1">
                  <c:v>11.51729559748428</c:v>
                </c:pt>
                <c:pt idx="2">
                  <c:v>5.113348530901723</c:v>
                </c:pt>
                <c:pt idx="3">
                  <c:v>5.111882716049383</c:v>
                </c:pt>
                <c:pt idx="4">
                  <c:v>4.838308457711443</c:v>
                </c:pt>
                <c:pt idx="5">
                  <c:v>2.691666666666667</c:v>
                </c:pt>
                <c:pt idx="6">
                  <c:v>9.46398659966499</c:v>
                </c:pt>
                <c:pt idx="7">
                  <c:v>5.323788998357964</c:v>
                </c:pt>
                <c:pt idx="8">
                  <c:v>4.563492063492064</c:v>
                </c:pt>
                <c:pt idx="9">
                  <c:v>5.208333333333333</c:v>
                </c:pt>
                <c:pt idx="10">
                  <c:v>5.296266233766234</c:v>
                </c:pt>
                <c:pt idx="11">
                  <c:v>6.740196078431373</c:v>
                </c:pt>
                <c:pt idx="12">
                  <c:v>7.766135014836796</c:v>
                </c:pt>
                <c:pt idx="13">
                  <c:v>8.240582191780822</c:v>
                </c:pt>
                <c:pt idx="14">
                  <c:v>7.868008314436887</c:v>
                </c:pt>
              </c:numCache>
            </c:numRef>
          </c:val>
          <c:smooth val="0"/>
        </c:ser>
        <c:ser>
          <c:idx val="4"/>
          <c:order val="2"/>
          <c:tx>
            <c:v>MF93-Sill 4-368.86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Data!$CJ$33:$CX$33</c:f>
              <c:numCache>
                <c:formatCode>0.00</c:formatCode>
                <c:ptCount val="15"/>
                <c:pt idx="0">
                  <c:v>0.450937950937951</c:v>
                </c:pt>
                <c:pt idx="1">
                  <c:v>2.967178019588921</c:v>
                </c:pt>
                <c:pt idx="2">
                  <c:v>2.117474255265542</c:v>
                </c:pt>
                <c:pt idx="3">
                  <c:v>2.347475341302502</c:v>
                </c:pt>
                <c:pt idx="4">
                  <c:v>2.119034457342915</c:v>
                </c:pt>
                <c:pt idx="5">
                  <c:v>1.114638447971781</c:v>
                </c:pt>
                <c:pt idx="6">
                  <c:v>0.686855795733518</c:v>
                </c:pt>
                <c:pt idx="7">
                  <c:v>2.546676397251109</c:v>
                </c:pt>
                <c:pt idx="8">
                  <c:v>2.309565801629294</c:v>
                </c:pt>
                <c:pt idx="9">
                  <c:v>2.369346229575507</c:v>
                </c:pt>
                <c:pt idx="10">
                  <c:v>2.140165830642021</c:v>
                </c:pt>
                <c:pt idx="11">
                  <c:v>3.031305114638448</c:v>
                </c:pt>
                <c:pt idx="12">
                  <c:v>3.43607879463468</c:v>
                </c:pt>
                <c:pt idx="13">
                  <c:v>3.442777415380156</c:v>
                </c:pt>
                <c:pt idx="14">
                  <c:v>3.134410730782613</c:v>
                </c:pt>
              </c:numCache>
            </c:numRef>
          </c:val>
          <c:smooth val="0"/>
        </c:ser>
        <c:ser>
          <c:idx val="2"/>
          <c:order val="3"/>
          <c:tx>
            <c:v>A-254-634.6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Data!$CJ$61:$CX$61</c:f>
              <c:numCache>
                <c:formatCode>0.00</c:formatCode>
                <c:ptCount val="15"/>
                <c:pt idx="0">
                  <c:v>2.032501258587318</c:v>
                </c:pt>
                <c:pt idx="1">
                  <c:v>1.297968873408447</c:v>
                </c:pt>
                <c:pt idx="2">
                  <c:v>0.0784107336139601</c:v>
                </c:pt>
                <c:pt idx="3">
                  <c:v>15.44643050507598</c:v>
                </c:pt>
                <c:pt idx="4">
                  <c:v>0.246420359250081</c:v>
                </c:pt>
                <c:pt idx="5">
                  <c:v>0.660406562790218</c:v>
                </c:pt>
                <c:pt idx="6">
                  <c:v>0.451125714217564</c:v>
                </c:pt>
                <c:pt idx="7">
                  <c:v>0.0635397324113125</c:v>
                </c:pt>
                <c:pt idx="8">
                  <c:v>0.206377050871943</c:v>
                </c:pt>
                <c:pt idx="9">
                  <c:v>0.185533141862483</c:v>
                </c:pt>
                <c:pt idx="10">
                  <c:v>1.005083039960762</c:v>
                </c:pt>
                <c:pt idx="11">
                  <c:v>0.777707636557873</c:v>
                </c:pt>
                <c:pt idx="12">
                  <c:v>1.286029100388962</c:v>
                </c:pt>
                <c:pt idx="13">
                  <c:v>1.295746323967679</c:v>
                </c:pt>
                <c:pt idx="14">
                  <c:v>1.497520550544712</c:v>
                </c:pt>
              </c:numCache>
            </c:numRef>
          </c:val>
          <c:smooth val="0"/>
        </c:ser>
        <c:ser>
          <c:idx val="3"/>
          <c:order val="4"/>
          <c:tx>
            <c:v>A-254-638.8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Data!$CJ$62:$CX$62</c:f>
              <c:numCache>
                <c:formatCode>0.00</c:formatCode>
                <c:ptCount val="15"/>
                <c:pt idx="0">
                  <c:v>10.6951871657754</c:v>
                </c:pt>
                <c:pt idx="1">
                  <c:v>1.2868149720922</c:v>
                </c:pt>
                <c:pt idx="2">
                  <c:v>0.0777369227061777</c:v>
                </c:pt>
                <c:pt idx="3">
                  <c:v>1.420858198351804</c:v>
                </c:pt>
                <c:pt idx="4">
                  <c:v>0.305378478451731</c:v>
                </c:pt>
                <c:pt idx="5">
                  <c:v>0.900255754475703</c:v>
                </c:pt>
                <c:pt idx="6">
                  <c:v>0.781400609184027</c:v>
                </c:pt>
                <c:pt idx="7">
                  <c:v>0.0629937132274199</c:v>
                </c:pt>
                <c:pt idx="8">
                  <c:v>0.253318718791865</c:v>
                </c:pt>
                <c:pt idx="9">
                  <c:v>0.367877581133366</c:v>
                </c:pt>
                <c:pt idx="10">
                  <c:v>1.660743348722888</c:v>
                </c:pt>
                <c:pt idx="11">
                  <c:v>0.545358808485031</c:v>
                </c:pt>
                <c:pt idx="12">
                  <c:v>1.305334416052578</c:v>
                </c:pt>
                <c:pt idx="13">
                  <c:v>1.798456130516531</c:v>
                </c:pt>
                <c:pt idx="14">
                  <c:v>2.203780062749737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349000"/>
        <c:axId val="-2107354440"/>
      </c:lineChart>
      <c:catAx>
        <c:axId val="-21073490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354440"/>
        <c:crossesAt val="0.01"/>
        <c:auto val="1"/>
        <c:lblAlgn val="ctr"/>
        <c:lblOffset val="100"/>
        <c:noMultiLvlLbl val="0"/>
      </c:catAx>
      <c:valAx>
        <c:axId val="-2107354440"/>
        <c:scaling>
          <c:logBase val="10.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Sample/Primitive Mantle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2107349000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07126927252986"/>
          <c:y val="0.591562633451957"/>
          <c:w val="0.194315720879718"/>
          <c:h val="0.24046343687547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4494162367635"/>
          <c:y val="0.040706715593076"/>
          <c:w val="0.825403529731197"/>
          <c:h val="0.913279737938499"/>
        </c:manualLayout>
      </c:layout>
      <c:lineChart>
        <c:grouping val="standard"/>
        <c:varyColors val="0"/>
        <c:ser>
          <c:idx val="0"/>
          <c:order val="0"/>
          <c:tx>
            <c:v>MF23-Sill 1-48.35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Data!$CJ$46:$CX$46</c:f>
              <c:numCache>
                <c:formatCode>0.00</c:formatCode>
                <c:ptCount val="15"/>
                <c:pt idx="0">
                  <c:v>87.946336015195</c:v>
                </c:pt>
                <c:pt idx="1">
                  <c:v>13.88061835378643</c:v>
                </c:pt>
                <c:pt idx="2">
                  <c:v>5.198903333268488</c:v>
                </c:pt>
                <c:pt idx="3">
                  <c:v>10.72856126928076</c:v>
                </c:pt>
                <c:pt idx="4">
                  <c:v>7.312806964954526</c:v>
                </c:pt>
                <c:pt idx="5">
                  <c:v>5.738247627455308</c:v>
                </c:pt>
                <c:pt idx="6">
                  <c:v>7.890922278574512</c:v>
                </c:pt>
                <c:pt idx="7">
                  <c:v>4.838045081882554</c:v>
                </c:pt>
                <c:pt idx="8">
                  <c:v>5.265315130687014</c:v>
                </c:pt>
                <c:pt idx="9">
                  <c:v>2.74468732539752</c:v>
                </c:pt>
                <c:pt idx="10">
                  <c:v>4.872637845491521</c:v>
                </c:pt>
                <c:pt idx="11">
                  <c:v>5.456690511119477</c:v>
                </c:pt>
                <c:pt idx="12">
                  <c:v>6.008721979217354</c:v>
                </c:pt>
                <c:pt idx="13">
                  <c:v>5.643517160827139</c:v>
                </c:pt>
                <c:pt idx="14">
                  <c:v>5.154713985940143</c:v>
                </c:pt>
              </c:numCache>
            </c:numRef>
          </c:val>
          <c:smooth val="0"/>
        </c:ser>
        <c:ser>
          <c:idx val="1"/>
          <c:order val="1"/>
          <c:tx>
            <c:v>MF93-Sill4-323.3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Data!$CJ$26:$CX$26</c:f>
              <c:numCache>
                <c:formatCode>0.00</c:formatCode>
                <c:ptCount val="15"/>
                <c:pt idx="0">
                  <c:v>22.90088383838384</c:v>
                </c:pt>
                <c:pt idx="1">
                  <c:v>11.51729559748428</c:v>
                </c:pt>
                <c:pt idx="2">
                  <c:v>5.113348530901723</c:v>
                </c:pt>
                <c:pt idx="3">
                  <c:v>5.111882716049383</c:v>
                </c:pt>
                <c:pt idx="4">
                  <c:v>4.838308457711443</c:v>
                </c:pt>
                <c:pt idx="5">
                  <c:v>2.691666666666667</c:v>
                </c:pt>
                <c:pt idx="6">
                  <c:v>9.46398659966499</c:v>
                </c:pt>
                <c:pt idx="7">
                  <c:v>5.323788998357964</c:v>
                </c:pt>
                <c:pt idx="8">
                  <c:v>4.563492063492064</c:v>
                </c:pt>
                <c:pt idx="9">
                  <c:v>5.208333333333333</c:v>
                </c:pt>
                <c:pt idx="10">
                  <c:v>5.296266233766234</c:v>
                </c:pt>
                <c:pt idx="11">
                  <c:v>6.740196078431373</c:v>
                </c:pt>
                <c:pt idx="12">
                  <c:v>7.766135014836796</c:v>
                </c:pt>
                <c:pt idx="13">
                  <c:v>8.240582191780822</c:v>
                </c:pt>
                <c:pt idx="14">
                  <c:v>7.868008314436887</c:v>
                </c:pt>
              </c:numCache>
            </c:numRef>
          </c:val>
          <c:smooth val="0"/>
        </c:ser>
        <c:ser>
          <c:idx val="2"/>
          <c:order val="2"/>
          <c:tx>
            <c:v>MF93-Sill4-356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Data!$CJ$30:$CX$30</c:f>
              <c:numCache>
                <c:formatCode>0.00</c:formatCode>
                <c:ptCount val="15"/>
                <c:pt idx="0">
                  <c:v>62.50388899259536</c:v>
                </c:pt>
                <c:pt idx="1">
                  <c:v>5.553187917296242</c:v>
                </c:pt>
                <c:pt idx="2">
                  <c:v>3.27044182171099</c:v>
                </c:pt>
                <c:pt idx="3">
                  <c:v>3.913478845032575</c:v>
                </c:pt>
                <c:pt idx="4">
                  <c:v>3.475435961874406</c:v>
                </c:pt>
                <c:pt idx="5">
                  <c:v>1.721560574948665</c:v>
                </c:pt>
                <c:pt idx="6">
                  <c:v>10.03993272316407</c:v>
                </c:pt>
                <c:pt idx="7">
                  <c:v>4.157352242036798</c:v>
                </c:pt>
                <c:pt idx="8">
                  <c:v>3.22675271340569</c:v>
                </c:pt>
                <c:pt idx="9">
                  <c:v>3.689352318388995</c:v>
                </c:pt>
                <c:pt idx="10">
                  <c:v>4.326782047521267</c:v>
                </c:pt>
                <c:pt idx="11">
                  <c:v>5.305215001811812</c:v>
                </c:pt>
                <c:pt idx="12">
                  <c:v>6.132745142244345</c:v>
                </c:pt>
                <c:pt idx="13">
                  <c:v>6.291431089608356</c:v>
                </c:pt>
                <c:pt idx="14">
                  <c:v>5.806292400601582</c:v>
                </c:pt>
              </c:numCache>
            </c:numRef>
          </c:val>
          <c:smooth val="0"/>
        </c:ser>
        <c:ser>
          <c:idx val="3"/>
          <c:order val="3"/>
          <c:tx>
            <c:v>MF93-Sill4-381.3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Data!$CJ$36:$CX$36</c:f>
              <c:numCache>
                <c:formatCode>0.00</c:formatCode>
                <c:ptCount val="15"/>
                <c:pt idx="0">
                  <c:v>0.513217842763297</c:v>
                </c:pt>
                <c:pt idx="1">
                  <c:v>1.718014689712803</c:v>
                </c:pt>
                <c:pt idx="2">
                  <c:v>1.001325801857717</c:v>
                </c:pt>
                <c:pt idx="3">
                  <c:v>1.011719761719762</c:v>
                </c:pt>
                <c:pt idx="4">
                  <c:v>0.99806909508402</c:v>
                </c:pt>
                <c:pt idx="5">
                  <c:v>0.527097902097902</c:v>
                </c:pt>
                <c:pt idx="6">
                  <c:v>0.971861053519345</c:v>
                </c:pt>
                <c:pt idx="7">
                  <c:v>2.083046264080747</c:v>
                </c:pt>
                <c:pt idx="8">
                  <c:v>1.769064269064269</c:v>
                </c:pt>
                <c:pt idx="9">
                  <c:v>2.14902012323341</c:v>
                </c:pt>
                <c:pt idx="10">
                  <c:v>2.227885750613023</c:v>
                </c:pt>
                <c:pt idx="11">
                  <c:v>3.115278563348416</c:v>
                </c:pt>
                <c:pt idx="12">
                  <c:v>3.647594986615758</c:v>
                </c:pt>
                <c:pt idx="13">
                  <c:v>3.697073474470735</c:v>
                </c:pt>
                <c:pt idx="14">
                  <c:v>3.332481011052439</c:v>
                </c:pt>
              </c:numCache>
            </c:numRef>
          </c:val>
          <c:smooth val="0"/>
        </c:ser>
        <c:ser>
          <c:idx val="4"/>
          <c:order val="4"/>
          <c:tx>
            <c:v>MF93-Sill 4-368.86</c:v>
          </c:tx>
          <c:spPr>
            <a:ln w="1016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Data!#REF!</c:f>
            </c:strRef>
          </c:cat>
          <c:val>
            <c:numRef>
              <c:f>Data!$CJ$33:$CX$33</c:f>
              <c:numCache>
                <c:formatCode>0.00</c:formatCode>
                <c:ptCount val="15"/>
                <c:pt idx="0">
                  <c:v>0.450937950937951</c:v>
                </c:pt>
                <c:pt idx="1">
                  <c:v>2.967178019588921</c:v>
                </c:pt>
                <c:pt idx="2">
                  <c:v>2.117474255265542</c:v>
                </c:pt>
                <c:pt idx="3">
                  <c:v>2.347475341302502</c:v>
                </c:pt>
                <c:pt idx="4">
                  <c:v>2.119034457342915</c:v>
                </c:pt>
                <c:pt idx="5">
                  <c:v>1.114638447971781</c:v>
                </c:pt>
                <c:pt idx="6">
                  <c:v>0.686855795733518</c:v>
                </c:pt>
                <c:pt idx="7">
                  <c:v>2.546676397251109</c:v>
                </c:pt>
                <c:pt idx="8">
                  <c:v>2.309565801629294</c:v>
                </c:pt>
                <c:pt idx="9">
                  <c:v>2.369346229575507</c:v>
                </c:pt>
                <c:pt idx="10">
                  <c:v>2.140165830642021</c:v>
                </c:pt>
                <c:pt idx="11">
                  <c:v>3.031305114638448</c:v>
                </c:pt>
                <c:pt idx="12">
                  <c:v>3.43607879463468</c:v>
                </c:pt>
                <c:pt idx="13">
                  <c:v>3.442777415380156</c:v>
                </c:pt>
                <c:pt idx="14">
                  <c:v>3.134410730782613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628440"/>
        <c:axId val="-2107623480"/>
      </c:lineChart>
      <c:catAx>
        <c:axId val="-21076284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623480"/>
        <c:crossesAt val="0.1"/>
        <c:auto val="1"/>
        <c:lblAlgn val="ctr"/>
        <c:lblOffset val="100"/>
        <c:noMultiLvlLbl val="0"/>
      </c:catAx>
      <c:valAx>
        <c:axId val="-2107623480"/>
        <c:scaling>
          <c:logBase val="10.0"/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-2107628440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61616399674179"/>
          <c:y val="0.0668423501557486"/>
          <c:w val="0.194315720879718"/>
          <c:h val="0.240463436875476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Data!$DC$26:$DC$36</c:f>
              <c:numCache>
                <c:formatCode>0.00</c:formatCode>
                <c:ptCount val="11"/>
                <c:pt idx="0">
                  <c:v>1.463813348589295</c:v>
                </c:pt>
                <c:pt idx="1">
                  <c:v>1.239019486545005</c:v>
                </c:pt>
                <c:pt idx="2" formatCode="0.0">
                  <c:v>2.2</c:v>
                </c:pt>
                <c:pt idx="3">
                  <c:v>1.08295686066082</c:v>
                </c:pt>
                <c:pt idx="4">
                  <c:v>0.956408588158751</c:v>
                </c:pt>
                <c:pt idx="5" formatCode="0.0">
                  <c:v>3.7</c:v>
                </c:pt>
                <c:pt idx="6">
                  <c:v>1.175559165313008</c:v>
                </c:pt>
                <c:pt idx="7">
                  <c:v>0.946646203845807</c:v>
                </c:pt>
                <c:pt idx="8" formatCode="0.0">
                  <c:v>8.7</c:v>
                </c:pt>
                <c:pt idx="9" formatCode="0.0">
                  <c:v>2.8</c:v>
                </c:pt>
                <c:pt idx="10">
                  <c:v>0.515536227817914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588712"/>
        <c:axId val="-2107580664"/>
      </c:scatterChart>
      <c:valAx>
        <c:axId val="-2107588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(Th/Yb)PM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7580664"/>
        <c:crosses val="max"/>
        <c:crossBetween val="midCat"/>
      </c:valAx>
      <c:valAx>
        <c:axId val="-210758066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7588712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965517241379"/>
          <c:y val="0.0361990950226244"/>
          <c:w val="0.740689655172414"/>
          <c:h val="0.927601809954751"/>
        </c:manualLayout>
      </c:layout>
      <c:lineChart>
        <c:grouping val="standard"/>
        <c:varyColors val="0"/>
        <c:ser>
          <c:idx val="9"/>
          <c:order val="0"/>
          <c:tx>
            <c:v>Sill 5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Data!$CJ$39:$CX$39</c:f>
              <c:numCache>
                <c:formatCode>0.00</c:formatCode>
                <c:ptCount val="15"/>
                <c:pt idx="0">
                  <c:v>1.623976614736748</c:v>
                </c:pt>
                <c:pt idx="1">
                  <c:v>8.895066879590395</c:v>
                </c:pt>
                <c:pt idx="2">
                  <c:v>3.785817824648857</c:v>
                </c:pt>
                <c:pt idx="3">
                  <c:v>5.30436806154436</c:v>
                </c:pt>
                <c:pt idx="4">
                  <c:v>4.685210144914213</c:v>
                </c:pt>
                <c:pt idx="5">
                  <c:v>1.992854502895158</c:v>
                </c:pt>
                <c:pt idx="6">
                  <c:v>0.811003396927969</c:v>
                </c:pt>
                <c:pt idx="7">
                  <c:v>4.245180248714764</c:v>
                </c:pt>
                <c:pt idx="8">
                  <c:v>3.871944244002887</c:v>
                </c:pt>
                <c:pt idx="9">
                  <c:v>3.794450719032476</c:v>
                </c:pt>
                <c:pt idx="10">
                  <c:v>3.463950119118285</c:v>
                </c:pt>
                <c:pt idx="11">
                  <c:v>4.325525947720471</c:v>
                </c:pt>
                <c:pt idx="12">
                  <c:v>4.288175638994835</c:v>
                </c:pt>
                <c:pt idx="13">
                  <c:v>4.24724477574829</c:v>
                </c:pt>
                <c:pt idx="14">
                  <c:v>3.860769801740252</c:v>
                </c:pt>
              </c:numCache>
            </c:numRef>
          </c:val>
          <c:smooth val="0"/>
        </c:ser>
        <c:ser>
          <c:idx val="5"/>
          <c:order val="1"/>
          <c:tx>
            <c:v>Sill 5</c:v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Data!$CJ$38:$CX$38</c:f>
              <c:numCache>
                <c:formatCode>0.00</c:formatCode>
                <c:ptCount val="15"/>
                <c:pt idx="0">
                  <c:v>173.502166442552</c:v>
                </c:pt>
                <c:pt idx="1">
                  <c:v>15.3074600610607</c:v>
                </c:pt>
                <c:pt idx="2">
                  <c:v>5.890675600375476</c:v>
                </c:pt>
                <c:pt idx="3">
                  <c:v>9.389992861530286</c:v>
                </c:pt>
                <c:pt idx="4">
                  <c:v>7.747011245877291</c:v>
                </c:pt>
                <c:pt idx="5">
                  <c:v>3.100851636037651</c:v>
                </c:pt>
                <c:pt idx="6">
                  <c:v>2.928132369602382</c:v>
                </c:pt>
                <c:pt idx="7">
                  <c:v>6.659961624489668</c:v>
                </c:pt>
                <c:pt idx="8">
                  <c:v>6.296557170604682</c:v>
                </c:pt>
                <c:pt idx="9">
                  <c:v>5.838937541399949</c:v>
                </c:pt>
                <c:pt idx="10">
                  <c:v>3.922008068130883</c:v>
                </c:pt>
                <c:pt idx="11">
                  <c:v>6.799657895430695</c:v>
                </c:pt>
                <c:pt idx="12">
                  <c:v>6.690190956404693</c:v>
                </c:pt>
                <c:pt idx="13">
                  <c:v>6.352476212112839</c:v>
                </c:pt>
                <c:pt idx="14">
                  <c:v>5.867130955176034</c:v>
                </c:pt>
              </c:numCache>
            </c:numRef>
          </c:val>
          <c:smooth val="0"/>
        </c:ser>
        <c:ser>
          <c:idx val="4"/>
          <c:order val="2"/>
          <c:tx>
            <c:v>Sill 4</c:v>
          </c:tx>
          <c:spPr>
            <a:ln w="25400">
              <a:solidFill>
                <a:srgbClr val="6711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Data!$CJ$26:$CX$26</c:f>
              <c:numCache>
                <c:formatCode>0.00</c:formatCode>
                <c:ptCount val="15"/>
                <c:pt idx="0">
                  <c:v>22.90088383838384</c:v>
                </c:pt>
                <c:pt idx="1">
                  <c:v>11.51729559748428</c:v>
                </c:pt>
                <c:pt idx="2">
                  <c:v>5.113348530901723</c:v>
                </c:pt>
                <c:pt idx="3">
                  <c:v>5.111882716049383</c:v>
                </c:pt>
                <c:pt idx="4">
                  <c:v>4.838308457711443</c:v>
                </c:pt>
                <c:pt idx="5">
                  <c:v>2.691666666666667</c:v>
                </c:pt>
                <c:pt idx="6">
                  <c:v>9.46398659966499</c:v>
                </c:pt>
                <c:pt idx="7">
                  <c:v>5.323788998357964</c:v>
                </c:pt>
                <c:pt idx="8">
                  <c:v>4.563492063492064</c:v>
                </c:pt>
                <c:pt idx="9">
                  <c:v>5.208333333333333</c:v>
                </c:pt>
                <c:pt idx="10">
                  <c:v>5.296266233766234</c:v>
                </c:pt>
                <c:pt idx="11">
                  <c:v>6.740196078431373</c:v>
                </c:pt>
                <c:pt idx="12">
                  <c:v>7.766135014836796</c:v>
                </c:pt>
                <c:pt idx="13">
                  <c:v>8.240582191780822</c:v>
                </c:pt>
                <c:pt idx="14">
                  <c:v>7.868008314436887</c:v>
                </c:pt>
              </c:numCache>
            </c:numRef>
          </c:val>
          <c:smooth val="0"/>
        </c:ser>
        <c:ser>
          <c:idx val="7"/>
          <c:order val="3"/>
          <c:tx>
            <c:v>Sill 3</c:v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Data!$CJ$25:$CX$25</c:f>
              <c:numCache>
                <c:formatCode>0.00</c:formatCode>
                <c:ptCount val="15"/>
                <c:pt idx="0">
                  <c:v>88.0032763546654</c:v>
                </c:pt>
                <c:pt idx="1">
                  <c:v>14.13964382399112</c:v>
                </c:pt>
                <c:pt idx="2">
                  <c:v>5.266903728954799</c:v>
                </c:pt>
                <c:pt idx="3">
                  <c:v>10.39510675178736</c:v>
                </c:pt>
                <c:pt idx="4">
                  <c:v>8.158286119547067</c:v>
                </c:pt>
                <c:pt idx="5">
                  <c:v>2.772498122921806</c:v>
                </c:pt>
                <c:pt idx="6">
                  <c:v>7.44363240637382</c:v>
                </c:pt>
                <c:pt idx="7">
                  <c:v>6.636481945968681</c:v>
                </c:pt>
                <c:pt idx="8">
                  <c:v>5.720619257034574</c:v>
                </c:pt>
                <c:pt idx="9">
                  <c:v>4.717071815773172</c:v>
                </c:pt>
                <c:pt idx="10">
                  <c:v>5.648647180342987</c:v>
                </c:pt>
                <c:pt idx="11">
                  <c:v>6.579632281959227</c:v>
                </c:pt>
                <c:pt idx="12">
                  <c:v>6.32429736483366</c:v>
                </c:pt>
                <c:pt idx="13">
                  <c:v>5.994895522782807</c:v>
                </c:pt>
                <c:pt idx="14">
                  <c:v>5.633058758202411</c:v>
                </c:pt>
              </c:numCache>
            </c:numRef>
          </c:val>
          <c:smooth val="0"/>
        </c:ser>
        <c:ser>
          <c:idx val="6"/>
          <c:order val="4"/>
          <c:tx>
            <c:v>Sill 3</c:v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Data!$CJ$24:$CX$24</c:f>
              <c:numCache>
                <c:formatCode>0.00</c:formatCode>
                <c:ptCount val="15"/>
                <c:pt idx="0">
                  <c:v>25.95559261134106</c:v>
                </c:pt>
                <c:pt idx="1">
                  <c:v>8.075364575930057</c:v>
                </c:pt>
                <c:pt idx="2">
                  <c:v>3.202457363345502</c:v>
                </c:pt>
                <c:pt idx="3">
                  <c:v>5.037883536264</c:v>
                </c:pt>
                <c:pt idx="4">
                  <c:v>4.399880714345078</c:v>
                </c:pt>
                <c:pt idx="5">
                  <c:v>1.685773556065072</c:v>
                </c:pt>
                <c:pt idx="6">
                  <c:v>5.623707575984519</c:v>
                </c:pt>
                <c:pt idx="7">
                  <c:v>4.004244660693377</c:v>
                </c:pt>
                <c:pt idx="8">
                  <c:v>3.535424432902324</c:v>
                </c:pt>
                <c:pt idx="9">
                  <c:v>3.337812319843815</c:v>
                </c:pt>
                <c:pt idx="10">
                  <c:v>3.807198369923558</c:v>
                </c:pt>
                <c:pt idx="11">
                  <c:v>4.074263180542442</c:v>
                </c:pt>
                <c:pt idx="12">
                  <c:v>4.007668026422746</c:v>
                </c:pt>
                <c:pt idx="13">
                  <c:v>3.863754542404332</c:v>
                </c:pt>
                <c:pt idx="14">
                  <c:v>3.646834866712271</c:v>
                </c:pt>
              </c:numCache>
            </c:numRef>
          </c:val>
          <c:smooth val="0"/>
        </c:ser>
        <c:ser>
          <c:idx val="3"/>
          <c:order val="5"/>
          <c:tx>
            <c:v>Sill 3</c:v>
          </c:tx>
          <c:spPr>
            <a:ln w="25400">
              <a:solidFill>
                <a:srgbClr val="4EE257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4EE257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Data!$CJ$23:$CX$23</c:f>
              <c:numCache>
                <c:formatCode>0.00</c:formatCode>
                <c:ptCount val="15"/>
                <c:pt idx="0">
                  <c:v>31.13611435445636</c:v>
                </c:pt>
                <c:pt idx="1">
                  <c:v>38.17244894485022</c:v>
                </c:pt>
                <c:pt idx="2">
                  <c:v>14.74911026230284</c:v>
                </c:pt>
                <c:pt idx="3">
                  <c:v>24.96393006954519</c:v>
                </c:pt>
                <c:pt idx="4">
                  <c:v>21.64741519026246</c:v>
                </c:pt>
                <c:pt idx="5">
                  <c:v>7.763931642076213</c:v>
                </c:pt>
                <c:pt idx="6">
                  <c:v>11.12664479386637</c:v>
                </c:pt>
                <c:pt idx="7">
                  <c:v>17.89315662577524</c:v>
                </c:pt>
                <c:pt idx="8">
                  <c:v>14.051687971654</c:v>
                </c:pt>
                <c:pt idx="9">
                  <c:v>9.182556329265107</c:v>
                </c:pt>
                <c:pt idx="10">
                  <c:v>14.53646661161787</c:v>
                </c:pt>
                <c:pt idx="11">
                  <c:v>17.69552688923993</c:v>
                </c:pt>
                <c:pt idx="12">
                  <c:v>16.51875017520364</c:v>
                </c:pt>
                <c:pt idx="13">
                  <c:v>15.60925533600976</c:v>
                </c:pt>
                <c:pt idx="14">
                  <c:v>14.11908215856841</c:v>
                </c:pt>
              </c:numCache>
            </c:numRef>
          </c:val>
          <c:smooth val="0"/>
        </c:ser>
        <c:ser>
          <c:idx val="2"/>
          <c:order val="6"/>
          <c:tx>
            <c:v>Sill 2</c:v>
          </c:tx>
          <c:spPr>
            <a:ln w="25400">
              <a:solidFill>
                <a:srgbClr val="FFF58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Data!$CJ$19:$CX$19</c:f>
              <c:numCache>
                <c:formatCode>0.00</c:formatCode>
                <c:ptCount val="15"/>
                <c:pt idx="0">
                  <c:v>73.8271779776175</c:v>
                </c:pt>
                <c:pt idx="1">
                  <c:v>12.59681174694685</c:v>
                </c:pt>
                <c:pt idx="2">
                  <c:v>4.98186674910027</c:v>
                </c:pt>
                <c:pt idx="3">
                  <c:v>8.414074101548601</c:v>
                </c:pt>
                <c:pt idx="4">
                  <c:v>7.06160972150486</c:v>
                </c:pt>
                <c:pt idx="5">
                  <c:v>2.622454656726382</c:v>
                </c:pt>
                <c:pt idx="6">
                  <c:v>12.62012745378165</c:v>
                </c:pt>
                <c:pt idx="7">
                  <c:v>6.034989785464608</c:v>
                </c:pt>
                <c:pt idx="8">
                  <c:v>5.298658909430022</c:v>
                </c:pt>
                <c:pt idx="9">
                  <c:v>5.076382909779958</c:v>
                </c:pt>
                <c:pt idx="10">
                  <c:v>6.416194243055264</c:v>
                </c:pt>
                <c:pt idx="11">
                  <c:v>6.042224389477611</c:v>
                </c:pt>
                <c:pt idx="12">
                  <c:v>5.801323969769719</c:v>
                </c:pt>
                <c:pt idx="13">
                  <c:v>5.642345894856751</c:v>
                </c:pt>
                <c:pt idx="14">
                  <c:v>5.144745483965627</c:v>
                </c:pt>
              </c:numCache>
            </c:numRef>
          </c:val>
          <c:smooth val="0"/>
        </c:ser>
        <c:ser>
          <c:idx val="8"/>
          <c:order val="7"/>
          <c:tx>
            <c:v>Sill 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Data!$CJ$18:$CX$18</c:f>
              <c:numCache>
                <c:formatCode>0.00</c:formatCode>
                <c:ptCount val="15"/>
                <c:pt idx="0">
                  <c:v>33.30250362891312</c:v>
                </c:pt>
                <c:pt idx="1">
                  <c:v>133.5978095398061</c:v>
                </c:pt>
                <c:pt idx="2">
                  <c:v>66.05530652187637</c:v>
                </c:pt>
                <c:pt idx="3">
                  <c:v>89.54084436280281</c:v>
                </c:pt>
                <c:pt idx="4">
                  <c:v>76.81600475789765</c:v>
                </c:pt>
                <c:pt idx="5">
                  <c:v>34.77151335311572</c:v>
                </c:pt>
                <c:pt idx="6">
                  <c:v>2.684043362211652</c:v>
                </c:pt>
                <c:pt idx="7">
                  <c:v>34.31987754684397</c:v>
                </c:pt>
                <c:pt idx="8">
                  <c:v>34.2154666020711</c:v>
                </c:pt>
                <c:pt idx="9">
                  <c:v>12.74735254895837</c:v>
                </c:pt>
                <c:pt idx="10">
                  <c:v>20.31457309117334</c:v>
                </c:pt>
                <c:pt idx="11">
                  <c:v>24.01823117971224</c:v>
                </c:pt>
                <c:pt idx="12">
                  <c:v>17.28496081048274</c:v>
                </c:pt>
                <c:pt idx="13">
                  <c:v>13.41166928947914</c:v>
                </c:pt>
                <c:pt idx="14">
                  <c:v>11.01585186851341</c:v>
                </c:pt>
              </c:numCache>
            </c:numRef>
          </c:val>
          <c:smooth val="0"/>
        </c:ser>
        <c:ser>
          <c:idx val="1"/>
          <c:order val="8"/>
          <c:tx>
            <c:v>Sill 1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Data!$CJ$19:$CX$19</c:f>
              <c:numCache>
                <c:formatCode>0.00</c:formatCode>
                <c:ptCount val="15"/>
                <c:pt idx="0">
                  <c:v>73.8271779776175</c:v>
                </c:pt>
                <c:pt idx="1">
                  <c:v>12.59681174694685</c:v>
                </c:pt>
                <c:pt idx="2">
                  <c:v>4.98186674910027</c:v>
                </c:pt>
                <c:pt idx="3">
                  <c:v>8.414074101548601</c:v>
                </c:pt>
                <c:pt idx="4">
                  <c:v>7.06160972150486</c:v>
                </c:pt>
                <c:pt idx="5">
                  <c:v>2.622454656726382</c:v>
                </c:pt>
                <c:pt idx="6">
                  <c:v>12.62012745378165</c:v>
                </c:pt>
                <c:pt idx="7">
                  <c:v>6.034989785464608</c:v>
                </c:pt>
                <c:pt idx="8">
                  <c:v>5.298658909430022</c:v>
                </c:pt>
                <c:pt idx="9">
                  <c:v>5.076382909779958</c:v>
                </c:pt>
                <c:pt idx="10">
                  <c:v>6.416194243055264</c:v>
                </c:pt>
                <c:pt idx="11">
                  <c:v>6.042224389477611</c:v>
                </c:pt>
                <c:pt idx="12">
                  <c:v>5.801323969769719</c:v>
                </c:pt>
                <c:pt idx="13">
                  <c:v>5.642345894856751</c:v>
                </c:pt>
                <c:pt idx="14">
                  <c:v>5.144745483965627</c:v>
                </c:pt>
              </c:numCache>
            </c:numRef>
          </c:val>
          <c:smooth val="0"/>
        </c:ser>
        <c:ser>
          <c:idx val="0"/>
          <c:order val="9"/>
          <c:tx>
            <c:v>Ni Reward</c:v>
          </c:tx>
          <c:spPr>
            <a:ln w="12700">
              <a:solidFill>
                <a:srgbClr val="63AAFE"/>
              </a:solidFill>
              <a:prstDash val="lgDash"/>
            </a:ln>
          </c:spPr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Data!$CJ$6:$CX$6</c:f>
              <c:numCache>
                <c:formatCode>0.00</c:formatCode>
                <c:ptCount val="15"/>
                <c:pt idx="0">
                  <c:v>64.64733796410007</c:v>
                </c:pt>
                <c:pt idx="1">
                  <c:v>10.95684078663592</c:v>
                </c:pt>
                <c:pt idx="2">
                  <c:v>4.562719656846689</c:v>
                </c:pt>
                <c:pt idx="3">
                  <c:v>6.370973444715292</c:v>
                </c:pt>
                <c:pt idx="4">
                  <c:v>5.742389317865443</c:v>
                </c:pt>
                <c:pt idx="5">
                  <c:v>2.401815627364098</c:v>
                </c:pt>
                <c:pt idx="6">
                  <c:v>16.56939186367371</c:v>
                </c:pt>
                <c:pt idx="7">
                  <c:v>5.512790685912542</c:v>
                </c:pt>
                <c:pt idx="8">
                  <c:v>4.73462918075476</c:v>
                </c:pt>
                <c:pt idx="9">
                  <c:v>4.613515364507014</c:v>
                </c:pt>
                <c:pt idx="10">
                  <c:v>4.870305313404847</c:v>
                </c:pt>
                <c:pt idx="11">
                  <c:v>5.840713027889204</c:v>
                </c:pt>
                <c:pt idx="12">
                  <c:v>5.963259650170398</c:v>
                </c:pt>
                <c:pt idx="13">
                  <c:v>5.778700922371466</c:v>
                </c:pt>
                <c:pt idx="14">
                  <c:v>5.415906050449286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483240"/>
        <c:axId val="-2107478136"/>
      </c:lineChart>
      <c:catAx>
        <c:axId val="-210748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107478136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-2107478136"/>
        <c:scaling>
          <c:logBase val="10.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Sample/Primitive Mantle</a:t>
                </a:r>
              </a:p>
            </c:rich>
          </c:tx>
          <c:layout>
            <c:manualLayout>
              <c:xMode val="edge"/>
              <c:yMode val="edge"/>
              <c:x val="0.0124137931034483"/>
              <c:y val="0.3348416289592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1074832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137931034483"/>
          <c:y val="0.0361990950226244"/>
          <c:w val="0.135172413793103"/>
          <c:h val="0.3190045248868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Data!$O$43:$O$44</c:f>
              <c:numCache>
                <c:formatCode>0.00</c:formatCode>
                <c:ptCount val="2"/>
                <c:pt idx="0">
                  <c:v>190.0</c:v>
                </c:pt>
                <c:pt idx="1">
                  <c:v>174.2</c:v>
                </c:pt>
              </c:numCache>
            </c:numRef>
          </c:xVal>
          <c:yVal>
            <c:numRef>
              <c:f>Data!$K$43:$K$44</c:f>
              <c:numCache>
                <c:formatCode>0</c:formatCode>
                <c:ptCount val="2"/>
                <c:pt idx="0">
                  <c:v>59800.00000000001</c:v>
                </c:pt>
                <c:pt idx="1">
                  <c:v>66900.0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Data!$O$22</c:f>
              <c:strCache>
                <c:ptCount val="1"/>
                <c:pt idx="0">
                  <c:v>&lt;0.4</c:v>
                </c:pt>
              </c:strCache>
            </c:strRef>
          </c:xVal>
          <c:yVal>
            <c:numRef>
              <c:f>Data!$K$22</c:f>
              <c:numCache>
                <c:formatCode>General</c:formatCode>
                <c:ptCount val="1"/>
                <c:pt idx="0">
                  <c:v>140.6</c:v>
                </c:pt>
              </c:numCache>
            </c:numRef>
          </c:yVal>
          <c:smooth val="0"/>
        </c:ser>
        <c:ser>
          <c:idx val="5"/>
          <c:order val="2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Data!$O$57:$O$59</c:f>
              <c:numCache>
                <c:formatCode>0.00</c:formatCode>
                <c:ptCount val="3"/>
                <c:pt idx="0">
                  <c:v>35.0</c:v>
                </c:pt>
                <c:pt idx="1">
                  <c:v>0.9</c:v>
                </c:pt>
                <c:pt idx="2">
                  <c:v>0.335</c:v>
                </c:pt>
              </c:numCache>
            </c:numRef>
          </c:xVal>
          <c:yVal>
            <c:numRef>
              <c:f>Data!$K$57:$K$59</c:f>
              <c:numCache>
                <c:formatCode>0</c:formatCode>
                <c:ptCount val="3"/>
                <c:pt idx="0">
                  <c:v>15200.0</c:v>
                </c:pt>
                <c:pt idx="1">
                  <c:v>352.1</c:v>
                </c:pt>
                <c:pt idx="2">
                  <c:v>175.0</c:v>
                </c:pt>
              </c:numCache>
            </c:numRef>
          </c:yVal>
          <c:smooth val="0"/>
        </c:ser>
        <c:ser>
          <c:idx val="4"/>
          <c:order val="3"/>
          <c:tx>
            <c:v>MF95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Data!$O$38:$O$41</c:f>
              <c:strCache>
                <c:ptCount val="4"/>
                <c:pt idx="0">
                  <c:v>&lt;0.4</c:v>
                </c:pt>
                <c:pt idx="1">
                  <c:v>29.10</c:v>
                </c:pt>
                <c:pt idx="2">
                  <c:v>3.40</c:v>
                </c:pt>
                <c:pt idx="3">
                  <c:v>0.50</c:v>
                </c:pt>
              </c:strCache>
            </c:strRef>
          </c:xVal>
          <c:yVal>
            <c:numRef>
              <c:f>Data!$K$38:$K$41</c:f>
              <c:numCache>
                <c:formatCode>General</c:formatCode>
                <c:ptCount val="4"/>
                <c:pt idx="0">
                  <c:v>96.6</c:v>
                </c:pt>
                <c:pt idx="1">
                  <c:v>12103.0</c:v>
                </c:pt>
                <c:pt idx="2">
                  <c:v>5698.0</c:v>
                </c:pt>
                <c:pt idx="3">
                  <c:v>122.7</c:v>
                </c:pt>
              </c:numCache>
            </c:numRef>
          </c:yVal>
          <c:smooth val="0"/>
        </c:ser>
        <c:ser>
          <c:idx val="0"/>
          <c:order val="4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Data!$O$6:$O$16</c:f>
              <c:numCache>
                <c:formatCode>0.00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0.4774</c:v>
                </c:pt>
                <c:pt idx="4">
                  <c:v>0.6</c:v>
                </c:pt>
                <c:pt idx="5">
                  <c:v>6.9</c:v>
                </c:pt>
                <c:pt idx="6">
                  <c:v>141.4</c:v>
                </c:pt>
                <c:pt idx="7">
                  <c:v>145.5</c:v>
                </c:pt>
                <c:pt idx="8">
                  <c:v>168.7</c:v>
                </c:pt>
                <c:pt idx="9">
                  <c:v>142.6</c:v>
                </c:pt>
                <c:pt idx="10">
                  <c:v>168.2</c:v>
                </c:pt>
              </c:numCache>
            </c:numRef>
          </c:xVal>
          <c:yVal>
            <c:numRef>
              <c:f>Data!$K$6:$K$16</c:f>
              <c:numCache>
                <c:formatCode>General</c:formatCode>
                <c:ptCount val="11"/>
                <c:pt idx="0">
                  <c:v>82.6</c:v>
                </c:pt>
                <c:pt idx="1">
                  <c:v>63.5</c:v>
                </c:pt>
                <c:pt idx="2">
                  <c:v>122.8</c:v>
                </c:pt>
                <c:pt idx="3" formatCode="0">
                  <c:v>114.3</c:v>
                </c:pt>
                <c:pt idx="4">
                  <c:v>190.5</c:v>
                </c:pt>
                <c:pt idx="5" formatCode="0">
                  <c:v>3268.9</c:v>
                </c:pt>
                <c:pt idx="6">
                  <c:v>40000.0</c:v>
                </c:pt>
                <c:pt idx="7">
                  <c:v>37000.0</c:v>
                </c:pt>
                <c:pt idx="8" formatCode="0">
                  <c:v>24400.0</c:v>
                </c:pt>
                <c:pt idx="9">
                  <c:v>37000.0</c:v>
                </c:pt>
                <c:pt idx="10" formatCode="0">
                  <c:v>37300.0</c:v>
                </c:pt>
              </c:numCache>
            </c:numRef>
          </c:yVal>
          <c:smooth val="0"/>
        </c:ser>
        <c:ser>
          <c:idx val="6"/>
          <c:order val="5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Data!$O$46:$O$47</c:f>
              <c:numCache>
                <c:formatCode>0.00</c:formatCode>
                <c:ptCount val="2"/>
                <c:pt idx="0">
                  <c:v>1.3</c:v>
                </c:pt>
                <c:pt idx="1">
                  <c:v>0.509</c:v>
                </c:pt>
              </c:numCache>
            </c:numRef>
          </c:xVal>
          <c:yVal>
            <c:numRef>
              <c:f>Data!$K$46:$K$47</c:f>
              <c:numCache>
                <c:formatCode>0</c:formatCode>
                <c:ptCount val="2"/>
                <c:pt idx="0">
                  <c:v>388.1</c:v>
                </c:pt>
                <c:pt idx="1">
                  <c:v>149.8</c:v>
                </c:pt>
              </c:numCache>
            </c:numRef>
          </c:yVal>
          <c:smooth val="0"/>
        </c:ser>
        <c:ser>
          <c:idx val="7"/>
          <c:order val="6"/>
          <c:tx>
            <c:v>MF23-Sill 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Data!$O$49:$O$55</c:f>
              <c:numCache>
                <c:formatCode>0.00</c:formatCode>
                <c:ptCount val="7"/>
                <c:pt idx="0">
                  <c:v>2.3</c:v>
                </c:pt>
                <c:pt idx="1">
                  <c:v>169.0</c:v>
                </c:pt>
                <c:pt idx="2">
                  <c:v>153.0</c:v>
                </c:pt>
                <c:pt idx="3">
                  <c:v>8.5</c:v>
                </c:pt>
                <c:pt idx="4">
                  <c:v>7.9</c:v>
                </c:pt>
                <c:pt idx="5">
                  <c:v>183.0</c:v>
                </c:pt>
                <c:pt idx="6">
                  <c:v>12.2</c:v>
                </c:pt>
              </c:numCache>
            </c:numRef>
          </c:xVal>
          <c:yVal>
            <c:numRef>
              <c:f>Data!$K$49:$K$55</c:f>
              <c:numCache>
                <c:formatCode>0</c:formatCode>
                <c:ptCount val="7"/>
                <c:pt idx="0">
                  <c:v>9531.6</c:v>
                </c:pt>
                <c:pt idx="1">
                  <c:v>32900.0</c:v>
                </c:pt>
                <c:pt idx="2">
                  <c:v>5800.0</c:v>
                </c:pt>
                <c:pt idx="3">
                  <c:v>7860.7</c:v>
                </c:pt>
                <c:pt idx="4">
                  <c:v>4500.0</c:v>
                </c:pt>
                <c:pt idx="5">
                  <c:v>58700.0</c:v>
                </c:pt>
                <c:pt idx="6">
                  <c:v>5900.0</c:v>
                </c:pt>
              </c:numCache>
            </c:numRef>
          </c:yVal>
          <c:smooth val="0"/>
        </c:ser>
        <c:ser>
          <c:idx val="3"/>
          <c:order val="7"/>
          <c:tx>
            <c:v>MF93-Sill 1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Data!$O$18:$O$19</c:f>
              <c:strCache>
                <c:ptCount val="2"/>
                <c:pt idx="0">
                  <c:v>&lt;0.4</c:v>
                </c:pt>
                <c:pt idx="1">
                  <c:v>&lt;0.4</c:v>
                </c:pt>
              </c:strCache>
            </c:strRef>
          </c:xVal>
          <c:yVal>
            <c:numRef>
              <c:f>Data!$K$18:$K$19</c:f>
              <c:numCache>
                <c:formatCode>General</c:formatCode>
                <c:ptCount val="2"/>
                <c:pt idx="0">
                  <c:v>9.8</c:v>
                </c:pt>
                <c:pt idx="1">
                  <c:v>65.4</c:v>
                </c:pt>
              </c:numCache>
            </c:numRef>
          </c:yVal>
          <c:smooth val="0"/>
        </c:ser>
        <c:ser>
          <c:idx val="9"/>
          <c:order val="8"/>
          <c:tx>
            <c:v>MF93 Sill 2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Data!$O$20:$O$22</c:f>
              <c:strCache>
                <c:ptCount val="3"/>
                <c:pt idx="0">
                  <c:v>5.80</c:v>
                </c:pt>
                <c:pt idx="1">
                  <c:v>29.90</c:v>
                </c:pt>
                <c:pt idx="2">
                  <c:v>&lt;0.4</c:v>
                </c:pt>
              </c:strCache>
            </c:strRef>
          </c:xVal>
          <c:yVal>
            <c:numRef>
              <c:f>Data!$K$20:$K$22</c:f>
              <c:numCache>
                <c:formatCode>General</c:formatCode>
                <c:ptCount val="3"/>
                <c:pt idx="0">
                  <c:v>3895.0</c:v>
                </c:pt>
                <c:pt idx="1">
                  <c:v>13230.0</c:v>
                </c:pt>
                <c:pt idx="2">
                  <c:v>140.6</c:v>
                </c:pt>
              </c:numCache>
            </c:numRef>
          </c:yVal>
          <c:smooth val="0"/>
        </c:ser>
        <c:ser>
          <c:idx val="8"/>
          <c:order val="9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Data!$O$24:$O$25</c:f>
              <c:strCache>
                <c:ptCount val="2"/>
                <c:pt idx="0">
                  <c:v>&lt;0.4</c:v>
                </c:pt>
                <c:pt idx="1">
                  <c:v>0.60</c:v>
                </c:pt>
              </c:strCache>
            </c:strRef>
          </c:xVal>
          <c:yVal>
            <c:numRef>
              <c:f>Data!$K$24:$K$25</c:f>
              <c:numCache>
                <c:formatCode>General</c:formatCode>
                <c:ptCount val="2"/>
                <c:pt idx="0">
                  <c:v>132.7</c:v>
                </c:pt>
                <c:pt idx="1">
                  <c:v>106.3</c:v>
                </c:pt>
              </c:numCache>
            </c:numRef>
          </c:yVal>
          <c:smooth val="0"/>
        </c:ser>
        <c:ser>
          <c:idx val="10"/>
          <c:order val="10"/>
          <c:tx>
            <c:v>MF93-Sill4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Data!$O$26:$O$36</c:f>
              <c:strCache>
                <c:ptCount val="11"/>
                <c:pt idx="0">
                  <c:v>&lt;0.4</c:v>
                </c:pt>
                <c:pt idx="1">
                  <c:v>0.80</c:v>
                </c:pt>
                <c:pt idx="2">
                  <c:v>3.90</c:v>
                </c:pt>
                <c:pt idx="3">
                  <c:v>&lt;0.4</c:v>
                </c:pt>
                <c:pt idx="4">
                  <c:v>&lt;0.4</c:v>
                </c:pt>
                <c:pt idx="5">
                  <c:v>0.28</c:v>
                </c:pt>
                <c:pt idx="6">
                  <c:v>&lt;0.4</c:v>
                </c:pt>
                <c:pt idx="7">
                  <c:v>&lt;0.4</c:v>
                </c:pt>
                <c:pt idx="8">
                  <c:v>0.70</c:v>
                </c:pt>
                <c:pt idx="9">
                  <c:v>2.50</c:v>
                </c:pt>
                <c:pt idx="10">
                  <c:v>1.10</c:v>
                </c:pt>
              </c:strCache>
            </c:strRef>
          </c:xVal>
          <c:yVal>
            <c:numRef>
              <c:f>Data!$K$26:$K$36</c:f>
              <c:numCache>
                <c:formatCode>General</c:formatCode>
                <c:ptCount val="11"/>
                <c:pt idx="0">
                  <c:v>5.4</c:v>
                </c:pt>
                <c:pt idx="1">
                  <c:v>40.2</c:v>
                </c:pt>
                <c:pt idx="2" formatCode="0">
                  <c:v>266.1</c:v>
                </c:pt>
                <c:pt idx="3">
                  <c:v>53.2</c:v>
                </c:pt>
                <c:pt idx="4">
                  <c:v>66.6</c:v>
                </c:pt>
                <c:pt idx="5" formatCode="0">
                  <c:v>85.2</c:v>
                </c:pt>
                <c:pt idx="6">
                  <c:v>47.8</c:v>
                </c:pt>
                <c:pt idx="7">
                  <c:v>2.8</c:v>
                </c:pt>
                <c:pt idx="8" formatCode="0">
                  <c:v>247.2</c:v>
                </c:pt>
                <c:pt idx="9" formatCode="0">
                  <c:v>829.8</c:v>
                </c:pt>
                <c:pt idx="10">
                  <c:v>507.2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216696"/>
        <c:axId val="2086224792"/>
      </c:scatterChart>
      <c:valAx>
        <c:axId val="208621669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 (ppm)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6224792"/>
        <c:crossesAt val="0.01"/>
        <c:crossBetween val="midCat"/>
      </c:valAx>
      <c:valAx>
        <c:axId val="2086224792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6216696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3998973115695"/>
          <c:y val="0.115267076511499"/>
          <c:w val="0.14019437980829"/>
          <c:h val="0.6351400588385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829597309841"/>
          <c:y val="0.0452488873297482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Data!$AI$43:$AI$44</c:f>
              <c:numCache>
                <c:formatCode>0.00</c:formatCode>
                <c:ptCount val="2"/>
                <c:pt idx="0">
                  <c:v>1.38584974471189</c:v>
                </c:pt>
                <c:pt idx="1">
                  <c:v>1.099537037037037</c:v>
                </c:pt>
              </c:numCache>
            </c:numRef>
          </c:xVal>
          <c:yVal>
            <c:numRef>
              <c:f>Data!$BM$43:$BM$44</c:f>
              <c:numCache>
                <c:formatCode>0</c:formatCode>
                <c:ptCount val="2"/>
                <c:pt idx="0">
                  <c:v>59800.00000000001</c:v>
                </c:pt>
                <c:pt idx="1">
                  <c:v>81199.99999999999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Data!$AI$22</c:f>
              <c:numCache>
                <c:formatCode>0.00</c:formatCode>
                <c:ptCount val="1"/>
                <c:pt idx="0">
                  <c:v>13.52960635130665</c:v>
                </c:pt>
              </c:numCache>
            </c:numRef>
          </c:xVal>
          <c:yVal>
            <c:numRef>
              <c:f>Data!$BM$22</c:f>
              <c:numCache>
                <c:formatCode>General</c:formatCode>
                <c:ptCount val="1"/>
                <c:pt idx="0">
                  <c:v>407.2</c:v>
                </c:pt>
              </c:numCache>
            </c:numRef>
          </c:yVal>
          <c:smooth val="0"/>
        </c:ser>
        <c:ser>
          <c:idx val="5"/>
          <c:order val="2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Data!$AI$57:$AI$59</c:f>
              <c:numCache>
                <c:formatCode>0.00</c:formatCode>
                <c:ptCount val="3"/>
                <c:pt idx="0">
                  <c:v>15.21012416427889</c:v>
                </c:pt>
                <c:pt idx="1">
                  <c:v>14.15560188741359</c:v>
                </c:pt>
                <c:pt idx="2">
                  <c:v>13.44500771434869</c:v>
                </c:pt>
              </c:numCache>
            </c:numRef>
          </c:xVal>
          <c:yVal>
            <c:numRef>
              <c:f>Data!$BM$57:$BM$59</c:f>
              <c:numCache>
                <c:formatCode>0</c:formatCode>
                <c:ptCount val="3"/>
                <c:pt idx="0">
                  <c:v>23200.0</c:v>
                </c:pt>
                <c:pt idx="1">
                  <c:v>678.0</c:v>
                </c:pt>
                <c:pt idx="2">
                  <c:v>750.0</c:v>
                </c:pt>
              </c:numCache>
            </c:numRef>
          </c:yVal>
          <c:smooth val="0"/>
        </c:ser>
        <c:ser>
          <c:idx val="3"/>
          <c:order val="3"/>
          <c:tx>
            <c:v>MF93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Data!$AI$18:$AI$36</c:f>
              <c:numCache>
                <c:formatCode>0.00</c:formatCode>
                <c:ptCount val="19"/>
                <c:pt idx="0">
                  <c:v>5.139889783806697</c:v>
                </c:pt>
                <c:pt idx="1">
                  <c:v>12.87415155224213</c:v>
                </c:pt>
                <c:pt idx="2">
                  <c:v>19.25899621212121</c:v>
                </c:pt>
                <c:pt idx="3">
                  <c:v>16.38132774972287</c:v>
                </c:pt>
                <c:pt idx="4">
                  <c:v>13.52960635130665</c:v>
                </c:pt>
                <c:pt idx="5">
                  <c:v>4.85086508863178</c:v>
                </c:pt>
                <c:pt idx="6">
                  <c:v>17.44731957637297</c:v>
                </c:pt>
                <c:pt idx="7">
                  <c:v>12.59251313954736</c:v>
                </c:pt>
                <c:pt idx="8">
                  <c:v>7.729166666666667</c:v>
                </c:pt>
                <c:pt idx="9">
                  <c:v>6.805098684210525</c:v>
                </c:pt>
                <c:pt idx="10">
                  <c:v>10.12256511271613</c:v>
                </c:pt>
                <c:pt idx="11">
                  <c:v>9.004248264428554</c:v>
                </c:pt>
                <c:pt idx="12">
                  <c:v>11.46817248459959</c:v>
                </c:pt>
                <c:pt idx="13">
                  <c:v>10.45751633986928</c:v>
                </c:pt>
                <c:pt idx="14">
                  <c:v>13.0338266384778</c:v>
                </c:pt>
                <c:pt idx="15">
                  <c:v>26.20149911816579</c:v>
                </c:pt>
                <c:pt idx="16">
                  <c:v>26.92480864475462</c:v>
                </c:pt>
                <c:pt idx="17">
                  <c:v>24.62562396006655</c:v>
                </c:pt>
                <c:pt idx="18">
                  <c:v>25.97246503496504</c:v>
                </c:pt>
              </c:numCache>
            </c:numRef>
          </c:xVal>
          <c:yVal>
            <c:numRef>
              <c:f>Data!$BM$18:$BM$36</c:f>
              <c:numCache>
                <c:formatCode>General</c:formatCode>
                <c:ptCount val="19"/>
                <c:pt idx="0">
                  <c:v>106.4</c:v>
                </c:pt>
                <c:pt idx="1">
                  <c:v>267.2</c:v>
                </c:pt>
                <c:pt idx="2">
                  <c:v>5808.0</c:v>
                </c:pt>
                <c:pt idx="3">
                  <c:v>20242.0</c:v>
                </c:pt>
                <c:pt idx="4">
                  <c:v>407.2</c:v>
                </c:pt>
                <c:pt idx="5">
                  <c:v>16.3</c:v>
                </c:pt>
                <c:pt idx="6">
                  <c:v>576.6</c:v>
                </c:pt>
                <c:pt idx="7">
                  <c:v>370.3</c:v>
                </c:pt>
                <c:pt idx="8">
                  <c:v>71.6</c:v>
                </c:pt>
                <c:pt idx="9">
                  <c:v>24.8</c:v>
                </c:pt>
                <c:pt idx="10" formatCode="0">
                  <c:v>35.0</c:v>
                </c:pt>
                <c:pt idx="11">
                  <c:v>77.1</c:v>
                </c:pt>
                <c:pt idx="12">
                  <c:v>126.8</c:v>
                </c:pt>
                <c:pt idx="13" formatCode="0">
                  <c:v>137.0</c:v>
                </c:pt>
                <c:pt idx="14">
                  <c:v>312.8</c:v>
                </c:pt>
                <c:pt idx="15">
                  <c:v>537.4</c:v>
                </c:pt>
                <c:pt idx="16" formatCode="0">
                  <c:v>2004.0</c:v>
                </c:pt>
                <c:pt idx="17" formatCode="0">
                  <c:v>2877.0</c:v>
                </c:pt>
                <c:pt idx="18">
                  <c:v>2059.8</c:v>
                </c:pt>
              </c:numCache>
            </c:numRef>
          </c:yVal>
          <c:smooth val="0"/>
        </c:ser>
        <c:ser>
          <c:idx val="4"/>
          <c:order val="4"/>
          <c:tx>
            <c:v>MF95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Data!$AI$38:$AI$41</c:f>
              <c:numCache>
                <c:formatCode>0.00</c:formatCode>
                <c:ptCount val="4"/>
                <c:pt idx="0">
                  <c:v>13.73823397579561</c:v>
                </c:pt>
                <c:pt idx="1">
                  <c:v>14.80842675865468</c:v>
                </c:pt>
                <c:pt idx="2">
                  <c:v>15.50228310502283</c:v>
                </c:pt>
                <c:pt idx="3">
                  <c:v>13.60893854748603</c:v>
                </c:pt>
              </c:numCache>
            </c:numRef>
          </c:xVal>
          <c:yVal>
            <c:numRef>
              <c:f>Data!$BM$38:$BM$41</c:f>
              <c:numCache>
                <c:formatCode>General</c:formatCode>
                <c:ptCount val="4"/>
                <c:pt idx="0">
                  <c:v>290.8</c:v>
                </c:pt>
                <c:pt idx="1">
                  <c:v>20300.0</c:v>
                </c:pt>
                <c:pt idx="2">
                  <c:v>2102.5</c:v>
                </c:pt>
                <c:pt idx="3">
                  <c:v>395.7</c:v>
                </c:pt>
              </c:numCache>
            </c:numRef>
          </c:yVal>
          <c:smooth val="0"/>
        </c:ser>
        <c:ser>
          <c:idx val="0"/>
          <c:order val="5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Data!$AI$6:$AI$16</c:f>
              <c:numCache>
                <c:formatCode>0.00</c:formatCode>
                <c:ptCount val="11"/>
                <c:pt idx="0">
                  <c:v>11.98530206419539</c:v>
                </c:pt>
                <c:pt idx="1">
                  <c:v>12.45377420056558</c:v>
                </c:pt>
                <c:pt idx="2">
                  <c:v>9.99231360491929</c:v>
                </c:pt>
                <c:pt idx="3">
                  <c:v>12.9996714489103</c:v>
                </c:pt>
                <c:pt idx="4">
                  <c:v>15.3532766849028</c:v>
                </c:pt>
                <c:pt idx="5">
                  <c:v>14.53611700346098</c:v>
                </c:pt>
                <c:pt idx="8">
                  <c:v>0.105801445953095</c:v>
                </c:pt>
                <c:pt idx="10">
                  <c:v>0.233100233100233</c:v>
                </c:pt>
              </c:numCache>
            </c:numRef>
          </c:xVal>
          <c:yVal>
            <c:numRef>
              <c:f>Data!$BM$6:$BM$16</c:f>
              <c:numCache>
                <c:formatCode>General</c:formatCode>
                <c:ptCount val="11"/>
                <c:pt idx="0">
                  <c:v>238.5</c:v>
                </c:pt>
                <c:pt idx="1">
                  <c:v>288.1</c:v>
                </c:pt>
                <c:pt idx="2">
                  <c:v>142.2</c:v>
                </c:pt>
                <c:pt idx="3" formatCode="0">
                  <c:v>515.0</c:v>
                </c:pt>
                <c:pt idx="4">
                  <c:v>584.7</c:v>
                </c:pt>
                <c:pt idx="5" formatCode="0">
                  <c:v>3308.0</c:v>
                </c:pt>
                <c:pt idx="6">
                  <c:v>10800.0</c:v>
                </c:pt>
                <c:pt idx="7">
                  <c:v>10800.0</c:v>
                </c:pt>
                <c:pt idx="8" formatCode="0">
                  <c:v>144700.0</c:v>
                </c:pt>
                <c:pt idx="9">
                  <c:v>10800.0</c:v>
                </c:pt>
                <c:pt idx="10" formatCode="0">
                  <c:v>97899.99999999999</c:v>
                </c:pt>
              </c:numCache>
            </c:numRef>
          </c:yVal>
          <c:smooth val="0"/>
        </c:ser>
        <c:ser>
          <c:idx val="6"/>
          <c:order val="6"/>
          <c:tx>
            <c:v>MF23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Data!$AI$46:$AI$55</c:f>
              <c:numCache>
                <c:formatCode>0.00</c:formatCode>
                <c:ptCount val="10"/>
                <c:pt idx="0">
                  <c:v>13.24210990951225</c:v>
                </c:pt>
                <c:pt idx="1">
                  <c:v>10.56874654886803</c:v>
                </c:pt>
                <c:pt idx="3">
                  <c:v>11.91282746160795</c:v>
                </c:pt>
                <c:pt idx="4">
                  <c:v>2.394139717705913</c:v>
                </c:pt>
                <c:pt idx="5">
                  <c:v>3.190796613848491</c:v>
                </c:pt>
                <c:pt idx="6">
                  <c:v>12.12901780714526</c:v>
                </c:pt>
                <c:pt idx="7">
                  <c:v>8.316520959426135</c:v>
                </c:pt>
                <c:pt idx="8">
                  <c:v>0.475304815044431</c:v>
                </c:pt>
                <c:pt idx="9">
                  <c:v>10.27468107114125</c:v>
                </c:pt>
              </c:numCache>
            </c:numRef>
          </c:xVal>
          <c:yVal>
            <c:numRef>
              <c:f>Data!$BM$46:$BM$55</c:f>
              <c:numCache>
                <c:formatCode>0</c:formatCode>
                <c:ptCount val="10"/>
                <c:pt idx="0">
                  <c:v>602.0</c:v>
                </c:pt>
                <c:pt idx="1">
                  <c:v>190.0</c:v>
                </c:pt>
                <c:pt idx="3">
                  <c:v>4648.0</c:v>
                </c:pt>
                <c:pt idx="4">
                  <c:v>70200.0</c:v>
                </c:pt>
                <c:pt idx="5">
                  <c:v>200000.0</c:v>
                </c:pt>
                <c:pt idx="6">
                  <c:v>6257.0</c:v>
                </c:pt>
                <c:pt idx="7">
                  <c:v>16700.0</c:v>
                </c:pt>
                <c:pt idx="8">
                  <c:v>141100.0</c:v>
                </c:pt>
                <c:pt idx="9">
                  <c:v>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305544"/>
        <c:axId val="2082313656"/>
      </c:scatterChart>
      <c:valAx>
        <c:axId val="208230554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MgO (wt%)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313656"/>
        <c:crossesAt val="0.01"/>
        <c:crossBetween val="midCat"/>
      </c:valAx>
      <c:valAx>
        <c:axId val="2082313656"/>
        <c:scaling>
          <c:logBase val="10.0"/>
          <c:orientation val="minMax"/>
          <c:min val="1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 (ppm)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30554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53793141002603"/>
          <c:y val="0.305429856982163"/>
          <c:w val="0.0976975858328224"/>
          <c:h val="0.3294683995944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8689563897"/>
          <c:y val="0.085998073415559"/>
          <c:w val="0.638597046490317"/>
          <c:h val="0.789580187125396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Data!$H$43:$H$44</c:f>
              <c:numCache>
                <c:formatCode>0.0</c:formatCode>
                <c:ptCount val="2"/>
                <c:pt idx="0">
                  <c:v>768.55</c:v>
                </c:pt>
                <c:pt idx="1">
                  <c:v>576.6</c:v>
                </c:pt>
              </c:numCache>
            </c:numRef>
          </c:xVal>
          <c:yVal>
            <c:numRef>
              <c:f>Data!$G$43:$G$44</c:f>
              <c:numCache>
                <c:formatCode>0.0</c:formatCode>
                <c:ptCount val="2"/>
                <c:pt idx="0">
                  <c:v>1971.0</c:v>
                </c:pt>
                <c:pt idx="1">
                  <c:v>861.2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Data!$H$22</c:f>
              <c:numCache>
                <c:formatCode>General</c:formatCode>
                <c:ptCount val="1"/>
                <c:pt idx="0">
                  <c:v>1.04</c:v>
                </c:pt>
              </c:numCache>
            </c:numRef>
          </c:xVal>
          <c:y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11"/>
          <c:order val="2"/>
          <c:tx>
            <c:v>MF-19 assays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Data!$H$68:$H$74</c:f>
              <c:numCache>
                <c:formatCode>General</c:formatCode>
                <c:ptCount val="7"/>
                <c:pt idx="0">
                  <c:v>333.0</c:v>
                </c:pt>
                <c:pt idx="1">
                  <c:v>104.0</c:v>
                </c:pt>
                <c:pt idx="2">
                  <c:v>6.0</c:v>
                </c:pt>
                <c:pt idx="3">
                  <c:v>575.0</c:v>
                </c:pt>
                <c:pt idx="4">
                  <c:v>840.0</c:v>
                </c:pt>
                <c:pt idx="5">
                  <c:v>16.0</c:v>
                </c:pt>
                <c:pt idx="6">
                  <c:v>481.0</c:v>
                </c:pt>
              </c:numCache>
            </c:numRef>
          </c:xVal>
          <c:yVal>
            <c:numRef>
              <c:f>Data!$G$68:$G$74</c:f>
              <c:numCache>
                <c:formatCode>General</c:formatCode>
                <c:ptCount val="7"/>
                <c:pt idx="0">
                  <c:v>1143.0</c:v>
                </c:pt>
                <c:pt idx="1">
                  <c:v>669.0</c:v>
                </c:pt>
                <c:pt idx="2">
                  <c:v>6.0</c:v>
                </c:pt>
                <c:pt idx="3">
                  <c:v>3574.0</c:v>
                </c:pt>
                <c:pt idx="4">
                  <c:v>1703.0</c:v>
                </c:pt>
                <c:pt idx="5">
                  <c:v>115.0</c:v>
                </c:pt>
                <c:pt idx="6">
                  <c:v>2768.0</c:v>
                </c:pt>
              </c:numCache>
            </c:numRef>
          </c:yVal>
          <c:smooth val="0"/>
        </c:ser>
        <c:ser>
          <c:idx val="5"/>
          <c:order val="3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Data!$H$57:$H$59</c:f>
              <c:numCache>
                <c:formatCode>0.0</c:formatCode>
                <c:ptCount val="3"/>
                <c:pt idx="0">
                  <c:v>343.6</c:v>
                </c:pt>
                <c:pt idx="1">
                  <c:v>5.7</c:v>
                </c:pt>
                <c:pt idx="2">
                  <c:v>2.3</c:v>
                </c:pt>
              </c:numCache>
            </c:numRef>
          </c:xVal>
          <c:yVal>
            <c:numRef>
              <c:f>Data!$G$57:$G$59</c:f>
              <c:numCache>
                <c:formatCode>0.0</c:formatCode>
                <c:ptCount val="3"/>
                <c:pt idx="0">
                  <c:v>541.2</c:v>
                </c:pt>
                <c:pt idx="1">
                  <c:v>7.8</c:v>
                </c:pt>
                <c:pt idx="2">
                  <c:v>3.3</c:v>
                </c:pt>
              </c:numCache>
            </c:numRef>
          </c:yVal>
          <c:smooth val="0"/>
        </c:ser>
        <c:ser>
          <c:idx val="4"/>
          <c:order val="4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Data!$H$38:$H$41</c:f>
              <c:numCache>
                <c:formatCode>General</c:formatCode>
                <c:ptCount val="4"/>
                <c:pt idx="0">
                  <c:v>0.22</c:v>
                </c:pt>
                <c:pt idx="1">
                  <c:v>238.0</c:v>
                </c:pt>
                <c:pt idx="2">
                  <c:v>99.5</c:v>
                </c:pt>
                <c:pt idx="3">
                  <c:v>0.55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0"/>
          <c:order val="5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Data!$H$6:$H$16</c:f>
              <c:numCache>
                <c:formatCode>General</c:formatCode>
                <c:ptCount val="11"/>
                <c:pt idx="0">
                  <c:v>0.26</c:v>
                </c:pt>
                <c:pt idx="1">
                  <c:v>0.2</c:v>
                </c:pt>
                <c:pt idx="2">
                  <c:v>0.17</c:v>
                </c:pt>
                <c:pt idx="3" formatCode="0.0">
                  <c:v>1.9</c:v>
                </c:pt>
                <c:pt idx="4">
                  <c:v>2.59</c:v>
                </c:pt>
                <c:pt idx="5" formatCode="0.0">
                  <c:v>100.6</c:v>
                </c:pt>
                <c:pt idx="6">
                  <c:v>610.0</c:v>
                </c:pt>
                <c:pt idx="7">
                  <c:v>961.0</c:v>
                </c:pt>
                <c:pt idx="8" formatCode="0.0">
                  <c:v>1022.0</c:v>
                </c:pt>
                <c:pt idx="9">
                  <c:v>730.0</c:v>
                </c:pt>
                <c:pt idx="10" formatCode="0.0">
                  <c:v>881.4</c:v>
                </c:pt>
              </c:numCache>
            </c:numRef>
          </c:xVal>
          <c:yVal>
            <c:numRef>
              <c:f>Data!$G$6:$G$16</c:f>
              <c:numCache>
                <c:formatCode>General</c:formatCode>
                <c:ptCount val="11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  <c:pt idx="10" formatCode="0.0">
                  <c:v>710.1</c:v>
                </c:pt>
              </c:numCache>
            </c:numRef>
          </c:yVal>
          <c:smooth val="0"/>
        </c:ser>
        <c:ser>
          <c:idx val="6"/>
          <c:order val="6"/>
          <c:tx>
            <c:v>MF23-Sill 1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Data!$H$46:$H$47</c:f>
              <c:numCache>
                <c:formatCode>0.0</c:formatCode>
                <c:ptCount val="2"/>
                <c:pt idx="0">
                  <c:v>4.1</c:v>
                </c:pt>
                <c:pt idx="1">
                  <c:v>1.0</c:v>
                </c:pt>
              </c:numCache>
            </c:numRef>
          </c:xVal>
          <c:yVal>
            <c:numRef>
              <c:f>Data!$G$46:$G$47</c:f>
              <c:numCache>
                <c:formatCode>0.0</c:formatCode>
                <c:ptCount val="2"/>
                <c:pt idx="0">
                  <c:v>6.6</c:v>
                </c:pt>
                <c:pt idx="1">
                  <c:v>1.8</c:v>
                </c:pt>
              </c:numCache>
            </c:numRef>
          </c:yVal>
          <c:smooth val="0"/>
        </c:ser>
        <c:ser>
          <c:idx val="7"/>
          <c:order val="7"/>
          <c:tx>
            <c:v>MF23-Sill 2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Data!$H$49:$H$55</c:f>
              <c:numCache>
                <c:formatCode>0.0</c:formatCode>
                <c:ptCount val="7"/>
                <c:pt idx="0">
                  <c:v>35.2</c:v>
                </c:pt>
                <c:pt idx="1">
                  <c:v>1057.0</c:v>
                </c:pt>
                <c:pt idx="2">
                  <c:v>848.55</c:v>
                </c:pt>
                <c:pt idx="3">
                  <c:v>257.6</c:v>
                </c:pt>
                <c:pt idx="4">
                  <c:v>103.1</c:v>
                </c:pt>
                <c:pt idx="5">
                  <c:v>556.2</c:v>
                </c:pt>
                <c:pt idx="6">
                  <c:v>167.1</c:v>
                </c:pt>
              </c:numCache>
            </c:numRef>
          </c:xVal>
          <c:yVal>
            <c:numRef>
              <c:f>Data!$G$49:$G$55</c:f>
              <c:numCache>
                <c:formatCode>0.0</c:formatCode>
                <c:ptCount val="7"/>
                <c:pt idx="0">
                  <c:v>131.1</c:v>
                </c:pt>
                <c:pt idx="1">
                  <c:v>658.3</c:v>
                </c:pt>
                <c:pt idx="2">
                  <c:v>1361.0</c:v>
                </c:pt>
                <c:pt idx="3">
                  <c:v>310.2</c:v>
                </c:pt>
                <c:pt idx="4">
                  <c:v>188.5</c:v>
                </c:pt>
                <c:pt idx="5">
                  <c:v>482.9</c:v>
                </c:pt>
                <c:pt idx="6">
                  <c:v>230.4</c:v>
                </c:pt>
              </c:numCache>
            </c:numRef>
          </c:yVal>
          <c:smooth val="0"/>
        </c:ser>
        <c:ser>
          <c:idx val="3"/>
          <c:order val="8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Data!$H$18:$H$19</c:f>
              <c:numCache>
                <c:formatCode>General</c:formatCode>
                <c:ptCount val="2"/>
                <c:pt idx="0">
                  <c:v>1.13</c:v>
                </c:pt>
                <c:pt idx="1">
                  <c:v>0.26</c:v>
                </c:pt>
              </c:numCache>
            </c:numRef>
          </c:xVal>
          <c:yVal>
            <c:numRef>
              <c:f>Data!$G$18:$G$19</c:f>
              <c:numCache>
                <c:formatCode>General</c:formatCode>
                <c:ptCount val="2"/>
                <c:pt idx="0">
                  <c:v>1.08</c:v>
                </c:pt>
                <c:pt idx="1">
                  <c:v>0.27</c:v>
                </c:pt>
              </c:numCache>
            </c:numRef>
          </c:yVal>
          <c:smooth val="0"/>
        </c:ser>
        <c:ser>
          <c:idx val="9"/>
          <c:order val="9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Data!$H$20:$H$22</c:f>
              <c:numCache>
                <c:formatCode>General</c:formatCode>
                <c:ptCount val="3"/>
                <c:pt idx="0">
                  <c:v>96.1</c:v>
                </c:pt>
                <c:pt idx="1">
                  <c:v>308.0</c:v>
                </c:pt>
                <c:pt idx="2">
                  <c:v>1.04</c:v>
                </c:pt>
              </c:numCache>
            </c:numRef>
          </c:xVal>
          <c:y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yVal>
          <c:smooth val="0"/>
        </c:ser>
        <c:ser>
          <c:idx val="8"/>
          <c:order val="10"/>
          <c:tx>
            <c:v>MF93-Sill 3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Data!$H$24:$H$25</c:f>
              <c:numCache>
                <c:formatCode>General</c:formatCode>
                <c:ptCount val="2"/>
                <c:pt idx="0">
                  <c:v>0.92</c:v>
                </c:pt>
                <c:pt idx="1">
                  <c:v>0.62</c:v>
                </c:pt>
              </c:numCache>
            </c:numRef>
          </c:xVal>
          <c:yVal>
            <c:numRef>
              <c:f>Data!$G$24:$G$25</c:f>
              <c:numCache>
                <c:formatCode>General</c:formatCode>
                <c:ptCount val="2"/>
                <c:pt idx="0">
                  <c:v>0.99</c:v>
                </c:pt>
                <c:pt idx="1">
                  <c:v>0.73</c:v>
                </c:pt>
              </c:numCache>
            </c:numRef>
          </c:yVal>
          <c:smooth val="0"/>
        </c:ser>
        <c:ser>
          <c:idx val="10"/>
          <c:order val="11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Data!$H$26:$H$36</c:f>
              <c:numCache>
                <c:formatCode>General</c:formatCode>
                <c:ptCount val="11"/>
                <c:pt idx="0">
                  <c:v>0.39</c:v>
                </c:pt>
                <c:pt idx="1">
                  <c:v>0.17</c:v>
                </c:pt>
                <c:pt idx="2" formatCode="0.0">
                  <c:v>0.7</c:v>
                </c:pt>
                <c:pt idx="3">
                  <c:v>0.17</c:v>
                </c:pt>
                <c:pt idx="4">
                  <c:v>0.17</c:v>
                </c:pt>
                <c:pt idx="5" formatCode="0.0">
                  <c:v>0.5</c:v>
                </c:pt>
                <c:pt idx="6">
                  <c:v>0.33</c:v>
                </c:pt>
                <c:pt idx="7">
                  <c:v>0.19</c:v>
                </c:pt>
                <c:pt idx="8" formatCode="0.0">
                  <c:v>56.2</c:v>
                </c:pt>
                <c:pt idx="9" formatCode="0.0">
                  <c:v>42.4</c:v>
                </c:pt>
                <c:pt idx="10">
                  <c:v>23.9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3501880"/>
        <c:axId val="-2090082264"/>
      </c:scatterChart>
      <c:valAx>
        <c:axId val="-209350188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Pt (ppb)</a:t>
                </a:r>
              </a:p>
            </c:rich>
          </c:tx>
          <c:layout>
            <c:manualLayout>
              <c:xMode val="edge"/>
              <c:yMode val="edge"/>
              <c:x val="0.395835314625156"/>
              <c:y val="0.9479763376642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0082264"/>
        <c:crossesAt val="0.01"/>
        <c:crossBetween val="midCat"/>
      </c:valAx>
      <c:valAx>
        <c:axId val="-2090082264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3501880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02720613017758"/>
          <c:y val="0.162807793611611"/>
          <c:w val="0.135420585095809"/>
          <c:h val="0.529571502521957"/>
        </c:manualLayout>
      </c:layout>
      <c:overlay val="0"/>
      <c:spPr>
        <a:solidFill>
          <a:srgbClr val="FFFFFF"/>
        </a:solidFill>
        <a:ln w="15875">
          <a:solidFill>
            <a:schemeClr val="tx1"/>
          </a:solidFill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Data!$V$26:$V$36</c:f>
              <c:numCache>
                <c:formatCode>General</c:formatCode>
                <c:ptCount val="11"/>
                <c:pt idx="0">
                  <c:v>7.42</c:v>
                </c:pt>
                <c:pt idx="1">
                  <c:v>6.62</c:v>
                </c:pt>
                <c:pt idx="2" formatCode="0.00">
                  <c:v>9.25</c:v>
                </c:pt>
                <c:pt idx="3">
                  <c:v>8.69</c:v>
                </c:pt>
                <c:pt idx="4">
                  <c:v>11.17</c:v>
                </c:pt>
                <c:pt idx="5" formatCode="0.00">
                  <c:v>10.08</c:v>
                </c:pt>
                <c:pt idx="6">
                  <c:v>12.33</c:v>
                </c:pt>
                <c:pt idx="7">
                  <c:v>23.77</c:v>
                </c:pt>
                <c:pt idx="8" formatCode="0.00">
                  <c:v>23.92</c:v>
                </c:pt>
                <c:pt idx="9" formatCode="0.00">
                  <c:v>22.2</c:v>
                </c:pt>
                <c:pt idx="10">
                  <c:v>23.77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081064"/>
        <c:axId val="-2110052264"/>
      </c:scatterChart>
      <c:valAx>
        <c:axId val="2119081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MgO (wt%)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0052264"/>
        <c:crosses val="max"/>
        <c:crossBetween val="midCat"/>
      </c:valAx>
      <c:valAx>
        <c:axId val="-211005226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908106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34482758621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Data!$BM$26:$BM$36</c:f>
              <c:numCache>
                <c:formatCode>General</c:formatCode>
                <c:ptCount val="11"/>
                <c:pt idx="0">
                  <c:v>71.6</c:v>
                </c:pt>
                <c:pt idx="1">
                  <c:v>24.8</c:v>
                </c:pt>
                <c:pt idx="2" formatCode="0">
                  <c:v>35.0</c:v>
                </c:pt>
                <c:pt idx="3">
                  <c:v>77.1</c:v>
                </c:pt>
                <c:pt idx="4">
                  <c:v>126.8</c:v>
                </c:pt>
                <c:pt idx="5" formatCode="0">
                  <c:v>137.0</c:v>
                </c:pt>
                <c:pt idx="6">
                  <c:v>312.8</c:v>
                </c:pt>
                <c:pt idx="7">
                  <c:v>537.4</c:v>
                </c:pt>
                <c:pt idx="8" formatCode="0">
                  <c:v>2004.0</c:v>
                </c:pt>
                <c:pt idx="9" formatCode="0">
                  <c:v>2877.0</c:v>
                </c:pt>
                <c:pt idx="10">
                  <c:v>2059.8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542392"/>
        <c:axId val="-2111459640"/>
      </c:scatterChart>
      <c:valAx>
        <c:axId val="21185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 (ppm)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1459640"/>
        <c:crosses val="max"/>
        <c:crossBetween val="midCat"/>
      </c:valAx>
      <c:valAx>
        <c:axId val="-211145964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8542392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Data!$K$26:$K$36</c:f>
              <c:numCache>
                <c:formatCode>General</c:formatCode>
                <c:ptCount val="11"/>
                <c:pt idx="0">
                  <c:v>5.4</c:v>
                </c:pt>
                <c:pt idx="1">
                  <c:v>40.2</c:v>
                </c:pt>
                <c:pt idx="2" formatCode="0">
                  <c:v>266.1</c:v>
                </c:pt>
                <c:pt idx="3">
                  <c:v>53.2</c:v>
                </c:pt>
                <c:pt idx="4">
                  <c:v>66.6</c:v>
                </c:pt>
                <c:pt idx="5" formatCode="0">
                  <c:v>85.2</c:v>
                </c:pt>
                <c:pt idx="6">
                  <c:v>47.8</c:v>
                </c:pt>
                <c:pt idx="7">
                  <c:v>2.8</c:v>
                </c:pt>
                <c:pt idx="8" formatCode="0">
                  <c:v>247.2</c:v>
                </c:pt>
                <c:pt idx="9" formatCode="0">
                  <c:v>829.8</c:v>
                </c:pt>
                <c:pt idx="10">
                  <c:v>507.2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492792"/>
        <c:axId val="-2111508376"/>
      </c:scatterChart>
      <c:valAx>
        <c:axId val="-211149279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(ppm)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1508376"/>
        <c:crosses val="max"/>
        <c:crossBetween val="midCat"/>
      </c:valAx>
      <c:valAx>
        <c:axId val="-21115083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1492792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MF19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Data!$P$43:$P$44</c:f>
              <c:numCache>
                <c:formatCode>General</c:formatCode>
                <c:ptCount val="2"/>
                <c:pt idx="0">
                  <c:v>2026.315789473684</c:v>
                </c:pt>
                <c:pt idx="1">
                  <c:v>2089.55223880597</c:v>
                </c:pt>
              </c:numCache>
            </c:numRef>
          </c:xVal>
          <c:yVal>
            <c:numRef>
              <c:f>Data!$DH$43:$DH$44</c:f>
              <c:numCache>
                <c:formatCode>0.00</c:formatCode>
                <c:ptCount val="2"/>
                <c:pt idx="0">
                  <c:v>5.902337662337664</c:v>
                </c:pt>
                <c:pt idx="1">
                  <c:v>6.984065934065934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Data!$P$57:$P$59</c:f>
              <c:numCache>
                <c:formatCode>General</c:formatCode>
                <c:ptCount val="3"/>
                <c:pt idx="0">
                  <c:v>2388.571428571428</c:v>
                </c:pt>
                <c:pt idx="1">
                  <c:v>2555.555555555555</c:v>
                </c:pt>
                <c:pt idx="2">
                  <c:v>3880.597014925373</c:v>
                </c:pt>
              </c:numCache>
            </c:numRef>
          </c:xVal>
          <c:yVal>
            <c:numRef>
              <c:f>Data!$DH$57:$DH$59</c:f>
              <c:numCache>
                <c:formatCode>0.00</c:formatCode>
                <c:ptCount val="3"/>
                <c:pt idx="0">
                  <c:v>6.90909090909091</c:v>
                </c:pt>
                <c:pt idx="1">
                  <c:v>5.817304347826087</c:v>
                </c:pt>
                <c:pt idx="2">
                  <c:v>5.115384615384615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8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Data!$DH$38:$DH$41</c:f>
              <c:numCache>
                <c:formatCode>0.00</c:formatCode>
                <c:ptCount val="4"/>
                <c:pt idx="0">
                  <c:v>5.243999999999999</c:v>
                </c:pt>
                <c:pt idx="1">
                  <c:v>6.733733528550512</c:v>
                </c:pt>
                <c:pt idx="3">
                  <c:v>7.771000000000001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Data!$P$6:$P$16</c:f>
              <c:numCache>
                <c:formatCode>0</c:formatCode>
                <c:ptCount val="11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  <c:pt idx="10">
                  <c:v>1956.004756242568</c:v>
                </c:pt>
              </c:numCache>
            </c:numRef>
          </c:xVal>
          <c:yVal>
            <c:numRef>
              <c:f>Data!$DH$6:$DH$16</c:f>
              <c:numCache>
                <c:formatCode>0.00</c:formatCode>
                <c:ptCount val="11"/>
                <c:pt idx="0">
                  <c:v>3.923499999999999</c:v>
                </c:pt>
                <c:pt idx="1">
                  <c:v>2.010833333333334</c:v>
                </c:pt>
                <c:pt idx="2">
                  <c:v>2.121090909090909</c:v>
                </c:pt>
                <c:pt idx="3">
                  <c:v>2.068285714285714</c:v>
                </c:pt>
                <c:pt idx="4">
                  <c:v>3.6195</c:v>
                </c:pt>
                <c:pt idx="5">
                  <c:v>7.528375757575758</c:v>
                </c:pt>
                <c:pt idx="6">
                  <c:v>3.877551020408163</c:v>
                </c:pt>
                <c:pt idx="7">
                  <c:v>3.98300283286119</c:v>
                </c:pt>
                <c:pt idx="8">
                  <c:v>2.719061583577712</c:v>
                </c:pt>
                <c:pt idx="9">
                  <c:v>3.938375350140055</c:v>
                </c:pt>
                <c:pt idx="10">
                  <c:v>4.308206686930092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Data!$P$46:$P$47</c:f>
              <c:numCache>
                <c:formatCode>General</c:formatCode>
                <c:ptCount val="2"/>
                <c:pt idx="0">
                  <c:v>2230.76923076923</c:v>
                </c:pt>
                <c:pt idx="1">
                  <c:v>5304.51866404715</c:v>
                </c:pt>
              </c:numCache>
            </c:numRef>
          </c:xVal>
          <c:yVal>
            <c:numRef>
              <c:f>Data!$DH$46:$DH$47</c:f>
              <c:numCache>
                <c:formatCode>0.00</c:formatCode>
                <c:ptCount val="2"/>
                <c:pt idx="0">
                  <c:v>5.08544827586207</c:v>
                </c:pt>
                <c:pt idx="1">
                  <c:v>2.108296296296296</c:v>
                </c:pt>
              </c:numCache>
            </c:numRef>
          </c:yVal>
          <c:smooth val="0"/>
        </c:ser>
        <c:ser>
          <c:idx val="7"/>
          <c:order val="5"/>
          <c:tx>
            <c:v>MF23-Sill 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Data!$P$49:$P$55</c:f>
              <c:numCache>
                <c:formatCode>General</c:formatCode>
                <c:ptCount val="7"/>
                <c:pt idx="0">
                  <c:v>5217.391304347826</c:v>
                </c:pt>
                <c:pt idx="1">
                  <c:v>2041.420118343195</c:v>
                </c:pt>
                <c:pt idx="2">
                  <c:v>2071.895424836601</c:v>
                </c:pt>
                <c:pt idx="3">
                  <c:v>2305.882352941176</c:v>
                </c:pt>
                <c:pt idx="4">
                  <c:v>4126.58227848101</c:v>
                </c:pt>
                <c:pt idx="5">
                  <c:v>1939.890710382514</c:v>
                </c:pt>
                <c:pt idx="6">
                  <c:v>2409.836065573771</c:v>
                </c:pt>
              </c:numCache>
            </c:numRef>
          </c:xVal>
          <c:yVal>
            <c:numRef>
              <c:f>Data!$DH$49:$DH$55</c:f>
              <c:numCache>
                <c:formatCode>0.00</c:formatCode>
                <c:ptCount val="7"/>
                <c:pt idx="0">
                  <c:v>30.1834</c:v>
                </c:pt>
                <c:pt idx="1">
                  <c:v>3.623768115942029</c:v>
                </c:pt>
                <c:pt idx="2">
                  <c:v>0.695268138801262</c:v>
                </c:pt>
                <c:pt idx="3">
                  <c:v>15.24013265306123</c:v>
                </c:pt>
                <c:pt idx="4">
                  <c:v>5.245398773006135</c:v>
                </c:pt>
                <c:pt idx="5">
                  <c:v>6.28338028169014</c:v>
                </c:pt>
                <c:pt idx="6">
                  <c:v>7.625850340136055</c:v>
                </c:pt>
              </c:numCache>
            </c:numRef>
          </c:yVal>
          <c:smooth val="0"/>
        </c:ser>
        <c:ser>
          <c:idx val="3"/>
          <c:order val="6"/>
          <c:tx>
            <c:v>MF93-Sill 1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Data!$P$18:$P$19</c:f>
              <c:numCache>
                <c:formatCode>0</c:formatCode>
                <c:ptCount val="2"/>
              </c:numCache>
            </c:numRef>
          </c:xVal>
          <c:yVal>
            <c:numRef>
              <c:f>Data!$DH$18:$DH$19</c:f>
              <c:numCache>
                <c:formatCode>0.00</c:formatCode>
                <c:ptCount val="2"/>
                <c:pt idx="0">
                  <c:v>0.169272727272727</c:v>
                </c:pt>
                <c:pt idx="1">
                  <c:v>4.9704</c:v>
                </c:pt>
              </c:numCache>
            </c:numRef>
          </c:yVal>
          <c:smooth val="0"/>
        </c:ser>
        <c:ser>
          <c:idx val="9"/>
          <c:order val="7"/>
          <c:tx>
            <c:v>MF93 Sill 2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Data!$P$20:$P$22</c:f>
              <c:numCache>
                <c:formatCode>0</c:formatCode>
                <c:ptCount val="3"/>
                <c:pt idx="0">
                  <c:v>2206.896551724138</c:v>
                </c:pt>
                <c:pt idx="1">
                  <c:v>2190.635451505017</c:v>
                </c:pt>
              </c:numCache>
            </c:numRef>
          </c:xVal>
          <c:yVal>
            <c:numRef>
              <c:f>Data!$DH$20:$DH$22</c:f>
              <c:numCache>
                <c:formatCode>0.00</c:formatCode>
                <c:ptCount val="3"/>
                <c:pt idx="0">
                  <c:v>11.56328125</c:v>
                </c:pt>
                <c:pt idx="1">
                  <c:v>7.675419847328245</c:v>
                </c:pt>
              </c:numCache>
            </c:numRef>
          </c:yVal>
          <c:smooth val="0"/>
        </c:ser>
        <c:ser>
          <c:idx val="8"/>
          <c:order val="8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Data!$P$24:$P$25</c:f>
              <c:numCache>
                <c:formatCode>0</c:formatCode>
                <c:ptCount val="2"/>
                <c:pt idx="1">
                  <c:v>6666.666666666666</c:v>
                </c:pt>
              </c:numCache>
            </c:numRef>
          </c:xVal>
          <c:yVal>
            <c:numRef>
              <c:f>Data!$DH$24:$DH$25</c:f>
              <c:numCache>
                <c:formatCode>0.00</c:formatCode>
                <c:ptCount val="2"/>
                <c:pt idx="1">
                  <c:v>1.00985</c:v>
                </c:pt>
              </c:numCache>
            </c:numRef>
          </c:yVal>
          <c:smooth val="0"/>
        </c:ser>
        <c:ser>
          <c:idx val="10"/>
          <c:order val="9"/>
          <c:tx>
            <c:v>MF93-Sill4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Data!$DH$26:$DH$36</c:f>
              <c:numCache>
                <c:formatCode>0.00</c:formatCode>
                <c:ptCount val="11"/>
                <c:pt idx="0">
                  <c:v>0.684</c:v>
                </c:pt>
                <c:pt idx="1">
                  <c:v>0.339466666666667</c:v>
                </c:pt>
                <c:pt idx="2">
                  <c:v>0.329374592833876</c:v>
                </c:pt>
                <c:pt idx="4">
                  <c:v>5.061599999999999</c:v>
                </c:pt>
                <c:pt idx="5">
                  <c:v>1.798666666666667</c:v>
                </c:pt>
                <c:pt idx="7">
                  <c:v>2.128</c:v>
                </c:pt>
                <c:pt idx="8">
                  <c:v>4.473142857142857</c:v>
                </c:pt>
                <c:pt idx="9">
                  <c:v>3.3192</c:v>
                </c:pt>
                <c:pt idx="10">
                  <c:v>13.76685714285714</c:v>
                </c:pt>
              </c:numCache>
            </c:numRef>
          </c:yVal>
          <c:smooth val="0"/>
        </c:ser>
        <c:ser>
          <c:idx val="2"/>
          <c:order val="10"/>
          <c:tx>
            <c:v>line</c:v>
          </c:tx>
          <c:spPr>
            <a:ln w="508000">
              <a:solidFill>
                <a:srgbClr val="CCFFCC"/>
              </a:solidFill>
            </a:ln>
          </c:spPr>
          <c:marker>
            <c:symbol val="none"/>
          </c:marker>
          <c:xVal>
            <c:numRef>
              <c:f>Data!$P$91:$P$92</c:f>
              <c:numCache>
                <c:formatCode>General</c:formatCode>
                <c:ptCount val="2"/>
                <c:pt idx="0">
                  <c:v>2500.0</c:v>
                </c:pt>
                <c:pt idx="1">
                  <c:v>2500.0</c:v>
                </c:pt>
              </c:numCache>
            </c:numRef>
          </c:xVal>
          <c:yVal>
            <c:numRef>
              <c:f>Data!$DH$91:$DH$92</c:f>
              <c:numCache>
                <c:formatCode>General</c:formatCode>
                <c:ptCount val="2"/>
                <c:pt idx="0">
                  <c:v>0.0</c:v>
                </c:pt>
                <c:pt idx="1">
                  <c:v>40.0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183960"/>
        <c:axId val="-2079190040"/>
      </c:scatterChart>
      <c:valAx>
        <c:axId val="-2079183960"/>
        <c:scaling>
          <c:orientation val="minMax"/>
          <c:max val="10000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79190040"/>
        <c:crossesAt val="0.01"/>
        <c:crossBetween val="midCat"/>
        <c:majorUnit val="2000.0"/>
      </c:valAx>
      <c:valAx>
        <c:axId val="-2079190040"/>
        <c:scaling>
          <c:orientation val="minMax"/>
          <c:max val="35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 (100) (wt%)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79183960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0"/>
        <c:delete val="1"/>
      </c:legendEntry>
      <c:layout>
        <c:manualLayout>
          <c:xMode val="edge"/>
          <c:yMode val="edge"/>
          <c:x val="0.853793141002603"/>
          <c:y val="0.305429856982163"/>
          <c:w val="0.144920569173016"/>
          <c:h val="0.581609960056528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MF93-Siil4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942392"/>
        <c:axId val="-2109990488"/>
      </c:scatterChart>
      <c:valAx>
        <c:axId val="-210994239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990488"/>
        <c:crosses val="max"/>
        <c:crossBetween val="midCat"/>
      </c:valAx>
      <c:valAx>
        <c:axId val="-210999048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942392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68965517241379"/>
          <c:y val="0.0950226244343891"/>
          <c:w val="0.75448275862069"/>
          <c:h val="0.852941176470588"/>
        </c:manualLayout>
      </c:layout>
      <c:scatterChart>
        <c:scatterStyle val="lineMarker"/>
        <c:varyColors val="0"/>
        <c:ser>
          <c:idx val="5"/>
          <c:order val="0"/>
          <c:tx>
            <c:v>Sill 2B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data'!$S$31:$S$34</c:f>
              <c:numCache>
                <c:formatCode>0.00</c:formatCode>
                <c:ptCount val="4"/>
                <c:pt idx="0">
                  <c:v>3.010351966873706</c:v>
                </c:pt>
                <c:pt idx="1">
                  <c:v>1.67727009832273</c:v>
                </c:pt>
                <c:pt idx="2">
                  <c:v>0.368989118989119</c:v>
                </c:pt>
                <c:pt idx="3">
                  <c:v>3.224938875305623</c:v>
                </c:pt>
              </c:numCache>
            </c:numRef>
          </c:xVal>
          <c:yVal>
            <c:numRef>
              <c:f>'SPider data'!$T$31:$T$34</c:f>
              <c:numCache>
                <c:formatCode>0.00</c:formatCode>
                <c:ptCount val="4"/>
                <c:pt idx="0">
                  <c:v>10.5</c:v>
                </c:pt>
                <c:pt idx="1">
                  <c:v>12.24334600760456</c:v>
                </c:pt>
                <c:pt idx="2">
                  <c:v>441.5384615384615</c:v>
                </c:pt>
                <c:pt idx="3">
                  <c:v>15.25</c:v>
                </c:pt>
              </c:numCache>
            </c:numRef>
          </c:yVal>
          <c:smooth val="0"/>
        </c:ser>
        <c:ser>
          <c:idx val="4"/>
          <c:order val="1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99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data'!$S$24:$S$30</c:f>
              <c:numCache>
                <c:formatCode>0.00</c:formatCode>
                <c:ptCount val="7"/>
                <c:pt idx="0">
                  <c:v>13.25925925925926</c:v>
                </c:pt>
                <c:pt idx="4">
                  <c:v>6.543933054393305</c:v>
                </c:pt>
                <c:pt idx="5">
                  <c:v>191.9285714285714</c:v>
                </c:pt>
                <c:pt idx="6">
                  <c:v>4.061119873817035</c:v>
                </c:pt>
              </c:numCache>
            </c:numRef>
          </c:xVal>
          <c:yVal>
            <c:numRef>
              <c:f>'SPider data'!$T$24:$T$30</c:f>
              <c:numCache>
                <c:formatCode>0.00</c:formatCode>
                <c:ptCount val="7"/>
                <c:pt idx="0">
                  <c:v>239.5</c:v>
                </c:pt>
                <c:pt idx="4">
                  <c:v>22.5</c:v>
                </c:pt>
                <c:pt idx="5">
                  <c:v>11.5</c:v>
                </c:pt>
                <c:pt idx="6">
                  <c:v>59.83870967741936</c:v>
                </c:pt>
              </c:numCache>
            </c:numRef>
          </c:yVal>
          <c:smooth val="0"/>
        </c:ser>
        <c:ser>
          <c:idx val="3"/>
          <c:order val="2"/>
          <c:tx>
            <c:v>Sill 3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data'!$S$21:$S$23</c:f>
              <c:numCache>
                <c:formatCode>0.00</c:formatCode>
                <c:ptCount val="3"/>
                <c:pt idx="0">
                  <c:v>0.11726618705036</c:v>
                </c:pt>
                <c:pt idx="1">
                  <c:v>4.345139412207988</c:v>
                </c:pt>
                <c:pt idx="2">
                  <c:v>3.483537158984007</c:v>
                </c:pt>
              </c:numCache>
            </c:numRef>
          </c:xVal>
          <c:yVal>
            <c:numRef>
              <c:f>'SPider data'!$T$21:$T$23</c:f>
              <c:numCache>
                <c:formatCode>0.00</c:formatCode>
                <c:ptCount val="3"/>
                <c:pt idx="0">
                  <c:v>24.5</c:v>
                </c:pt>
                <c:pt idx="1">
                  <c:v>14.14285714285714</c:v>
                </c:pt>
                <c:pt idx="2">
                  <c:v>18.25</c:v>
                </c:pt>
              </c:numCache>
            </c:numRef>
          </c:yVal>
          <c:smooth val="0"/>
        </c:ser>
        <c:ser>
          <c:idx val="2"/>
          <c:order val="3"/>
          <c:tx>
            <c:v>Sill 2A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data'!$S$18:$S$20</c:f>
              <c:numCache>
                <c:formatCode>0.00</c:formatCode>
                <c:ptCount val="3"/>
                <c:pt idx="0">
                  <c:v>2.896159317211949</c:v>
                </c:pt>
                <c:pt idx="1">
                  <c:v>1.530007558578987</c:v>
                </c:pt>
                <c:pt idx="2">
                  <c:v>1.491142490372272</c:v>
                </c:pt>
              </c:numCache>
            </c:numRef>
          </c:xVal>
          <c:yVal>
            <c:numRef>
              <c:f>'SPider data'!$T$18:$T$20</c:f>
              <c:numCache>
                <c:formatCode>0.00</c:formatCode>
                <c:ptCount val="3"/>
                <c:pt idx="0">
                  <c:v>15.375</c:v>
                </c:pt>
                <c:pt idx="1">
                  <c:v>24.4140625</c:v>
                </c:pt>
                <c:pt idx="2">
                  <c:v>20.79365079365079</c:v>
                </c:pt>
              </c:numCache>
            </c:numRef>
          </c:yVal>
          <c:smooth val="0"/>
        </c:ser>
        <c:ser>
          <c:idx val="1"/>
          <c:order val="4"/>
          <c:tx>
            <c:v>Sill 1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data'!$Q$17:$Q$35</c:f>
              <c:numCache>
                <c:formatCode>0</c:formatCode>
                <c:ptCount val="19"/>
                <c:pt idx="2">
                  <c:v>516796.875</c:v>
                </c:pt>
                <c:pt idx="3">
                  <c:v>618253.9682539682</c:v>
                </c:pt>
                <c:pt idx="15">
                  <c:v>460190.114068441</c:v>
                </c:pt>
              </c:numCache>
            </c:numRef>
          </c:xVal>
          <c:yVal>
            <c:numRef>
              <c:f>'SPider data'!$R$17:$R$35</c:f>
              <c:numCache>
                <c:formatCode>0</c:formatCode>
                <c:ptCount val="19"/>
                <c:pt idx="2">
                  <c:v>32387.2</c:v>
                </c:pt>
                <c:pt idx="3">
                  <c:v>44335.87786259542</c:v>
                </c:pt>
                <c:pt idx="15">
                  <c:v>63043.47826086957</c:v>
                </c:pt>
              </c:numCache>
            </c:numRef>
          </c:yVal>
          <c:smooth val="0"/>
        </c:ser>
        <c:ser>
          <c:idx val="0"/>
          <c:order val="5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data'!$S$8:$S$14</c:f>
              <c:numCache>
                <c:formatCode>0.00</c:formatCode>
                <c:ptCount val="7"/>
                <c:pt idx="1">
                  <c:v>4.537007874015749</c:v>
                </c:pt>
                <c:pt idx="3">
                  <c:v>3.069291338582677</c:v>
                </c:pt>
                <c:pt idx="4">
                  <c:v>2.7</c:v>
                </c:pt>
                <c:pt idx="5">
                  <c:v>2.918918918918919</c:v>
                </c:pt>
                <c:pt idx="6">
                  <c:v>2.918918918918919</c:v>
                </c:pt>
              </c:numCache>
            </c:numRef>
          </c:xVal>
          <c:yVal>
            <c:numRef>
              <c:f>'SPider data'!$T$8:$T$14</c:f>
              <c:numCache>
                <c:formatCode>0.00</c:formatCode>
                <c:ptCount val="7"/>
                <c:pt idx="1">
                  <c:v>13.0</c:v>
                </c:pt>
                <c:pt idx="3">
                  <c:v>18.54545454545455</c:v>
                </c:pt>
                <c:pt idx="4">
                  <c:v>2.435146443514644</c:v>
                </c:pt>
                <c:pt idx="5">
                  <c:v>8.363892806770097</c:v>
                </c:pt>
                <c:pt idx="6">
                  <c:v>10.6268221574344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422056"/>
        <c:axId val="-2107413816"/>
      </c:scatterChart>
      <c:valAx>
        <c:axId val="-2107422056"/>
        <c:scaling>
          <c:logBase val="10.0"/>
          <c:orientation val="minMax"/>
          <c:max val="1000.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Ni/Cu</a:t>
                </a:r>
              </a:p>
            </c:rich>
          </c:tx>
          <c:layout>
            <c:manualLayout>
              <c:xMode val="edge"/>
              <c:yMode val="edge"/>
              <c:x val="0.437241379310345"/>
              <c:y val="0.9615384615384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107413816"/>
        <c:crossesAt val="0.01"/>
        <c:crossBetween val="midCat"/>
      </c:valAx>
      <c:valAx>
        <c:axId val="-2107413816"/>
        <c:scaling>
          <c:logBase val="10.0"/>
          <c:orientation val="minMax"/>
          <c:max val="1.0E6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Pd/Ir</a:t>
                </a:r>
              </a:p>
            </c:rich>
          </c:tx>
          <c:layout>
            <c:manualLayout>
              <c:xMode val="edge"/>
              <c:yMode val="edge"/>
              <c:x val="0.0"/>
              <c:y val="0.4796380090497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107422056"/>
        <c:crossesAt val="0.0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034482758621"/>
          <c:y val="0.339366515837104"/>
          <c:w val="0.104827586206897"/>
          <c:h val="0.2217194570135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MF81A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Data!$V$6:$V$15</c:f>
              <c:numCache>
                <c:formatCode>General</c:formatCode>
                <c:ptCount val="10"/>
                <c:pt idx="0">
                  <c:v>11.09</c:v>
                </c:pt>
                <c:pt idx="1">
                  <c:v>11.45</c:v>
                </c:pt>
                <c:pt idx="2">
                  <c:v>9.1</c:v>
                </c:pt>
                <c:pt idx="3" formatCode="0.00">
                  <c:v>11.87</c:v>
                </c:pt>
                <c:pt idx="4">
                  <c:v>13.19</c:v>
                </c:pt>
                <c:pt idx="5" formatCode="0.00">
                  <c:v>13.02</c:v>
                </c:pt>
                <c:pt idx="6">
                  <c:v>0.07</c:v>
                </c:pt>
                <c:pt idx="7">
                  <c:v>0.26</c:v>
                </c:pt>
                <c:pt idx="8" formatCode="0.00">
                  <c:v>0.06</c:v>
                </c:pt>
                <c:pt idx="9">
                  <c:v>0.19</c:v>
                </c:pt>
              </c:numCache>
            </c:numRef>
          </c:xVal>
          <c:yVal>
            <c:numRef>
              <c:f>Data!$C$6:$C$15</c:f>
              <c:numCache>
                <c:formatCode>General</c:formatCode>
                <c:ptCount val="10"/>
                <c:pt idx="0">
                  <c:v>163.5</c:v>
                </c:pt>
                <c:pt idx="1">
                  <c:v>164.2</c:v>
                </c:pt>
                <c:pt idx="2">
                  <c:v>167.45</c:v>
                </c:pt>
                <c:pt idx="3">
                  <c:v>169.2</c:v>
                </c:pt>
                <c:pt idx="4">
                  <c:v>170.9</c:v>
                </c:pt>
                <c:pt idx="5">
                  <c:v>171.5</c:v>
                </c:pt>
                <c:pt idx="6">
                  <c:v>174.25</c:v>
                </c:pt>
                <c:pt idx="7">
                  <c:v>174.4</c:v>
                </c:pt>
                <c:pt idx="8">
                  <c:v>174.44</c:v>
                </c:pt>
                <c:pt idx="9">
                  <c:v>174.5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033624"/>
        <c:axId val="-2091930312"/>
      </c:scatterChart>
      <c:valAx>
        <c:axId val="-209203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MgO (wt%)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1930312"/>
        <c:crosses val="max"/>
        <c:crossBetween val="midCat"/>
      </c:valAx>
      <c:valAx>
        <c:axId val="-20919303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033624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5517241379"/>
          <c:y val="0.14027149321267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MF81A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Data!$G$6:$G$15</c:f>
              <c:numCache>
                <c:formatCode>General</c:formatCode>
                <c:ptCount val="10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</c:numCache>
            </c:numRef>
          </c:xVal>
          <c:yVal>
            <c:numRef>
              <c:f>Data!$C$6:$C$15</c:f>
              <c:numCache>
                <c:formatCode>General</c:formatCode>
                <c:ptCount val="10"/>
                <c:pt idx="0">
                  <c:v>163.5</c:v>
                </c:pt>
                <c:pt idx="1">
                  <c:v>164.2</c:v>
                </c:pt>
                <c:pt idx="2">
                  <c:v>167.45</c:v>
                </c:pt>
                <c:pt idx="3">
                  <c:v>169.2</c:v>
                </c:pt>
                <c:pt idx="4">
                  <c:v>170.9</c:v>
                </c:pt>
                <c:pt idx="5">
                  <c:v>171.5</c:v>
                </c:pt>
                <c:pt idx="6">
                  <c:v>174.25</c:v>
                </c:pt>
                <c:pt idx="7">
                  <c:v>174.4</c:v>
                </c:pt>
                <c:pt idx="8">
                  <c:v>174.44</c:v>
                </c:pt>
                <c:pt idx="9">
                  <c:v>174.5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970584"/>
        <c:axId val="-2091985400"/>
      </c:scatterChart>
      <c:valAx>
        <c:axId val="-209197058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1985400"/>
        <c:crosses val="max"/>
        <c:crossBetween val="midCat"/>
      </c:valAx>
      <c:valAx>
        <c:axId val="-20919854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197058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310344827586"/>
          <c:y val="0.470588235294118"/>
          <c:w val="0.177931034482759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68965517241"/>
          <c:y val="0.0452488687782805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Data!$N$19:$N$41</c:f>
              <c:numCache>
                <c:formatCode>General</c:formatCode>
                <c:ptCount val="23"/>
                <c:pt idx="0">
                  <c:v>500.0</c:v>
                </c:pt>
                <c:pt idx="1">
                  <c:v>12800.0</c:v>
                </c:pt>
                <c:pt idx="2">
                  <c:v>65500.0</c:v>
                </c:pt>
                <c:pt idx="3">
                  <c:v>200.0</c:v>
                </c:pt>
                <c:pt idx="4">
                  <c:v>15400.0</c:v>
                </c:pt>
                <c:pt idx="5">
                  <c:v>300.0</c:v>
                </c:pt>
                <c:pt idx="6">
                  <c:v>4000.0</c:v>
                </c:pt>
                <c:pt idx="7">
                  <c:v>300.0</c:v>
                </c:pt>
                <c:pt idx="8">
                  <c:v>4500.0</c:v>
                </c:pt>
                <c:pt idx="9">
                  <c:v>30700.0</c:v>
                </c:pt>
                <c:pt idx="10">
                  <c:v>100.0</c:v>
                </c:pt>
                <c:pt idx="11">
                  <c:v>500.0</c:v>
                </c:pt>
                <c:pt idx="12">
                  <c:v>1800.0</c:v>
                </c:pt>
                <c:pt idx="13">
                  <c:v>100.0</c:v>
                </c:pt>
                <c:pt idx="14">
                  <c:v>50.0</c:v>
                </c:pt>
                <c:pt idx="15">
                  <c:v>2100.0</c:v>
                </c:pt>
                <c:pt idx="16">
                  <c:v>9500.0</c:v>
                </c:pt>
                <c:pt idx="17">
                  <c:v>1400.0</c:v>
                </c:pt>
                <c:pt idx="19">
                  <c:v>700.0000000000001</c:v>
                </c:pt>
                <c:pt idx="20">
                  <c:v>68300.0</c:v>
                </c:pt>
                <c:pt idx="21">
                  <c:v>69</c:v>
                </c:pt>
                <c:pt idx="22">
                  <c:v>600.0</c:v>
                </c:pt>
              </c:numCache>
            </c:numRef>
          </c:xVal>
          <c:yVal>
            <c:numRef>
              <c:f>Data!$G$19:$G$41</c:f>
              <c:numCache>
                <c:formatCode>General</c:formatCode>
                <c:ptCount val="23"/>
                <c:pt idx="0">
                  <c:v>0.27</c:v>
                </c:pt>
                <c:pt idx="1">
                  <c:v>131.0</c:v>
                </c:pt>
                <c:pt idx="2">
                  <c:v>625.0</c:v>
                </c:pt>
                <c:pt idx="3">
                  <c:v>1.23</c:v>
                </c:pt>
                <c:pt idx="4">
                  <c:v>0.49</c:v>
                </c:pt>
                <c:pt idx="5">
                  <c:v>0.99</c:v>
                </c:pt>
                <c:pt idx="6">
                  <c:v>0.73</c:v>
                </c:pt>
                <c:pt idx="7">
                  <c:v>4.79</c:v>
                </c:pt>
                <c:pt idx="8">
                  <c:v>0.12</c:v>
                </c:pt>
                <c:pt idx="9" formatCode="0.0">
                  <c:v>1.4</c:v>
                </c:pt>
                <c:pt idx="10">
                  <c:v>0.12</c:v>
                </c:pt>
                <c:pt idx="11">
                  <c:v>0.12</c:v>
                </c:pt>
                <c:pt idx="12" formatCode="0.0">
                  <c:v>1.0</c:v>
                </c:pt>
                <c:pt idx="13">
                  <c:v>0.45</c:v>
                </c:pt>
                <c:pt idx="14">
                  <c:v>0.23</c:v>
                </c:pt>
                <c:pt idx="15" formatCode="0.0">
                  <c:v>60.8</c:v>
                </c:pt>
                <c:pt idx="16" formatCode="0.0">
                  <c:v>120.7</c:v>
                </c:pt>
                <c:pt idx="17">
                  <c:v>74.2</c:v>
                </c:pt>
                <c:pt idx="19">
                  <c:v>0.21</c:v>
                </c:pt>
                <c:pt idx="20">
                  <c:v>322.0</c:v>
                </c:pt>
                <c:pt idx="21">
                  <c:v>57.4</c:v>
                </c:pt>
                <c:pt idx="22">
                  <c:v>0.61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Data!$N$22</c:f>
              <c:numCache>
                <c:formatCode>General</c:formatCode>
                <c:ptCount val="1"/>
                <c:pt idx="0">
                  <c:v>200.0</c:v>
                </c:pt>
              </c:numCache>
            </c:numRef>
          </c:xVal>
          <c:yVal>
            <c:numRef>
              <c:f>Data!$G$22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5"/>
          <c:order val="2"/>
          <c:tx>
            <c:v>Sill 2B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Data!$N$38:$N$41</c:f>
              <c:numCache>
                <c:formatCode>General</c:formatCode>
                <c:ptCount val="4"/>
                <c:pt idx="0">
                  <c:v>700.0000000000001</c:v>
                </c:pt>
                <c:pt idx="1">
                  <c:v>68300.0</c:v>
                </c:pt>
                <c:pt idx="2">
                  <c:v>69</c:v>
                </c:pt>
                <c:pt idx="3">
                  <c:v>600.0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3"/>
          <c:order val="3"/>
          <c:tx>
            <c:v>Sill 3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Data!$N$22:$N$25</c:f>
              <c:numCache>
                <c:formatCode>General</c:formatCode>
                <c:ptCount val="4"/>
                <c:pt idx="0">
                  <c:v>200.0</c:v>
                </c:pt>
                <c:pt idx="1">
                  <c:v>15400.0</c:v>
                </c:pt>
                <c:pt idx="2">
                  <c:v>300.0</c:v>
                </c:pt>
                <c:pt idx="3">
                  <c:v>4000.0</c:v>
                </c:pt>
              </c:numCache>
            </c:numRef>
          </c:xVal>
          <c:yVal>
            <c:numRef>
              <c:f>Data!$G$22:$G$25</c:f>
              <c:numCache>
                <c:formatCode>General</c:formatCode>
                <c:ptCount val="4"/>
                <c:pt idx="0">
                  <c:v>1.23</c:v>
                </c:pt>
                <c:pt idx="1">
                  <c:v>0.49</c:v>
                </c:pt>
                <c:pt idx="2">
                  <c:v>0.99</c:v>
                </c:pt>
                <c:pt idx="3">
                  <c:v>0.73</c:v>
                </c:pt>
              </c:numCache>
            </c:numRef>
          </c:yVal>
          <c:smooth val="0"/>
        </c:ser>
        <c:ser>
          <c:idx val="4"/>
          <c:order val="4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Data!$N$26:$N$36</c:f>
              <c:numCache>
                <c:formatCode>General</c:formatCode>
                <c:ptCount val="11"/>
                <c:pt idx="0">
                  <c:v>300.0</c:v>
                </c:pt>
                <c:pt idx="1">
                  <c:v>4500.0</c:v>
                </c:pt>
                <c:pt idx="2">
                  <c:v>30700.0</c:v>
                </c:pt>
                <c:pt idx="3">
                  <c:v>100.0</c:v>
                </c:pt>
                <c:pt idx="4">
                  <c:v>500.0</c:v>
                </c:pt>
                <c:pt idx="5">
                  <c:v>1800.0</c:v>
                </c:pt>
                <c:pt idx="6">
                  <c:v>100.0</c:v>
                </c:pt>
                <c:pt idx="7">
                  <c:v>50.0</c:v>
                </c:pt>
                <c:pt idx="8">
                  <c:v>2100.0</c:v>
                </c:pt>
                <c:pt idx="9">
                  <c:v>9500.0</c:v>
                </c:pt>
                <c:pt idx="10">
                  <c:v>1400.0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ser>
          <c:idx val="0"/>
          <c:order val="5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Data!$N$6:$N$15</c:f>
              <c:numCache>
                <c:formatCode>General</c:formatCode>
                <c:ptCount val="10"/>
                <c:pt idx="0">
                  <c:v>800.0</c:v>
                </c:pt>
                <c:pt idx="1">
                  <c:v>1200.0</c:v>
                </c:pt>
                <c:pt idx="2">
                  <c:v>2200.0</c:v>
                </c:pt>
                <c:pt idx="3">
                  <c:v>2100.0</c:v>
                </c:pt>
                <c:pt idx="4">
                  <c:v>2000.0</c:v>
                </c:pt>
                <c:pt idx="5">
                  <c:v>16500.0</c:v>
                </c:pt>
                <c:pt idx="6">
                  <c:v>392000.0</c:v>
                </c:pt>
                <c:pt idx="7">
                  <c:v>353000.0</c:v>
                </c:pt>
                <c:pt idx="8">
                  <c:v>341000.0</c:v>
                </c:pt>
                <c:pt idx="9">
                  <c:v>357000.0</c:v>
                </c:pt>
              </c:numCache>
            </c:numRef>
          </c:xVal>
          <c:yVal>
            <c:numRef>
              <c:f>Data!$G$6:$G$15</c:f>
              <c:numCache>
                <c:formatCode>General</c:formatCode>
                <c:ptCount val="10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148328"/>
        <c:axId val="-2092140056"/>
      </c:scatterChart>
      <c:valAx>
        <c:axId val="-2092148328"/>
        <c:scaling>
          <c:logBase val="10.0"/>
          <c:orientation val="minMax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 (ppb)</a:t>
                </a:r>
              </a:p>
            </c:rich>
          </c:tx>
          <c:layout>
            <c:manualLayout>
              <c:xMode val="edge"/>
              <c:yMode val="edge"/>
              <c:x val="0.43172412668029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140056"/>
        <c:crossesAt val="0.01"/>
        <c:crossBetween val="midCat"/>
      </c:valAx>
      <c:valAx>
        <c:axId val="-2092140056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7331970244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14832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93122199504"/>
          <c:y val="0.305429856982163"/>
          <c:w val="0.142068886762083"/>
          <c:h val="0.2873303337082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68965517241"/>
          <c:y val="0.0452488687782805"/>
          <c:w val="0.670344827586207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Data!$H$19:$H$41</c:f>
              <c:numCache>
                <c:formatCode>General</c:formatCode>
                <c:ptCount val="23"/>
                <c:pt idx="0">
                  <c:v>0.26</c:v>
                </c:pt>
                <c:pt idx="1">
                  <c:v>96.1</c:v>
                </c:pt>
                <c:pt idx="2">
                  <c:v>308.0</c:v>
                </c:pt>
                <c:pt idx="3">
                  <c:v>1.04</c:v>
                </c:pt>
                <c:pt idx="4">
                  <c:v>0.48</c:v>
                </c:pt>
                <c:pt idx="5">
                  <c:v>0.92</c:v>
                </c:pt>
                <c:pt idx="6">
                  <c:v>0.62</c:v>
                </c:pt>
                <c:pt idx="7">
                  <c:v>0.39</c:v>
                </c:pt>
                <c:pt idx="8">
                  <c:v>0.17</c:v>
                </c:pt>
                <c:pt idx="9" formatCode="0.0">
                  <c:v>0.7</c:v>
                </c:pt>
                <c:pt idx="10">
                  <c:v>0.17</c:v>
                </c:pt>
                <c:pt idx="11">
                  <c:v>0.17</c:v>
                </c:pt>
                <c:pt idx="12" formatCode="0.0">
                  <c:v>0.5</c:v>
                </c:pt>
                <c:pt idx="13">
                  <c:v>0.33</c:v>
                </c:pt>
                <c:pt idx="14">
                  <c:v>0.19</c:v>
                </c:pt>
                <c:pt idx="15" formatCode="0.0">
                  <c:v>56.2</c:v>
                </c:pt>
                <c:pt idx="16" formatCode="0.0">
                  <c:v>42.4</c:v>
                </c:pt>
                <c:pt idx="17">
                  <c:v>23.9</c:v>
                </c:pt>
                <c:pt idx="19">
                  <c:v>0.22</c:v>
                </c:pt>
                <c:pt idx="20">
                  <c:v>238.0</c:v>
                </c:pt>
                <c:pt idx="21">
                  <c:v>99.5</c:v>
                </c:pt>
                <c:pt idx="22">
                  <c:v>0.55</c:v>
                </c:pt>
              </c:numCache>
            </c:numRef>
          </c:xVal>
          <c:yVal>
            <c:numRef>
              <c:f>Data!$G$19:$G$41</c:f>
              <c:numCache>
                <c:formatCode>General</c:formatCode>
                <c:ptCount val="23"/>
                <c:pt idx="0">
                  <c:v>0.27</c:v>
                </c:pt>
                <c:pt idx="1">
                  <c:v>131.0</c:v>
                </c:pt>
                <c:pt idx="2">
                  <c:v>625.0</c:v>
                </c:pt>
                <c:pt idx="3">
                  <c:v>1.23</c:v>
                </c:pt>
                <c:pt idx="4">
                  <c:v>0.49</c:v>
                </c:pt>
                <c:pt idx="5">
                  <c:v>0.99</c:v>
                </c:pt>
                <c:pt idx="6">
                  <c:v>0.73</c:v>
                </c:pt>
                <c:pt idx="7">
                  <c:v>4.79</c:v>
                </c:pt>
                <c:pt idx="8">
                  <c:v>0.12</c:v>
                </c:pt>
                <c:pt idx="9" formatCode="0.0">
                  <c:v>1.4</c:v>
                </c:pt>
                <c:pt idx="10">
                  <c:v>0.12</c:v>
                </c:pt>
                <c:pt idx="11">
                  <c:v>0.12</c:v>
                </c:pt>
                <c:pt idx="12" formatCode="0.0">
                  <c:v>1.0</c:v>
                </c:pt>
                <c:pt idx="13">
                  <c:v>0.45</c:v>
                </c:pt>
                <c:pt idx="14">
                  <c:v>0.23</c:v>
                </c:pt>
                <c:pt idx="15" formatCode="0.0">
                  <c:v>60.8</c:v>
                </c:pt>
                <c:pt idx="16" formatCode="0.0">
                  <c:v>120.7</c:v>
                </c:pt>
                <c:pt idx="17">
                  <c:v>74.2</c:v>
                </c:pt>
                <c:pt idx="19">
                  <c:v>0.21</c:v>
                </c:pt>
                <c:pt idx="20">
                  <c:v>322.0</c:v>
                </c:pt>
                <c:pt idx="21">
                  <c:v>57.4</c:v>
                </c:pt>
                <c:pt idx="22">
                  <c:v>0.61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Data!$H$22:$H$22</c:f>
              <c:numCache>
                <c:formatCode>General</c:formatCode>
                <c:ptCount val="1"/>
                <c:pt idx="0">
                  <c:v>1.04</c:v>
                </c:pt>
              </c:numCache>
            </c:numRef>
          </c:xVal>
          <c:yVal>
            <c:numRef>
              <c:f>Data!$G$22:$G$22</c:f>
              <c:numCache>
                <c:formatCode>General</c:formatCode>
                <c:ptCount val="1"/>
                <c:pt idx="0">
                  <c:v>1.23</c:v>
                </c:pt>
              </c:numCache>
            </c:numRef>
          </c:yVal>
          <c:smooth val="0"/>
        </c:ser>
        <c:ser>
          <c:idx val="5"/>
          <c:order val="2"/>
          <c:tx>
            <c:v>Sill 2B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Data!$H$38:$H$41</c:f>
              <c:numCache>
                <c:formatCode>General</c:formatCode>
                <c:ptCount val="4"/>
                <c:pt idx="0">
                  <c:v>0.22</c:v>
                </c:pt>
                <c:pt idx="1">
                  <c:v>238.0</c:v>
                </c:pt>
                <c:pt idx="2">
                  <c:v>99.5</c:v>
                </c:pt>
                <c:pt idx="3">
                  <c:v>0.55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3"/>
          <c:order val="3"/>
          <c:tx>
            <c:v>Sill 3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Data!$H$22:$H$25</c:f>
              <c:numCache>
                <c:formatCode>General</c:formatCode>
                <c:ptCount val="4"/>
                <c:pt idx="0">
                  <c:v>1.04</c:v>
                </c:pt>
                <c:pt idx="1">
                  <c:v>0.48</c:v>
                </c:pt>
                <c:pt idx="2">
                  <c:v>0.92</c:v>
                </c:pt>
                <c:pt idx="3">
                  <c:v>0.62</c:v>
                </c:pt>
              </c:numCache>
            </c:numRef>
          </c:xVal>
          <c:yVal>
            <c:numRef>
              <c:f>Data!$G$22:$G$25</c:f>
              <c:numCache>
                <c:formatCode>General</c:formatCode>
                <c:ptCount val="4"/>
                <c:pt idx="0">
                  <c:v>1.23</c:v>
                </c:pt>
                <c:pt idx="1">
                  <c:v>0.49</c:v>
                </c:pt>
                <c:pt idx="2">
                  <c:v>0.99</c:v>
                </c:pt>
                <c:pt idx="3">
                  <c:v>0.73</c:v>
                </c:pt>
              </c:numCache>
            </c:numRef>
          </c:yVal>
          <c:smooth val="0"/>
        </c:ser>
        <c:ser>
          <c:idx val="4"/>
          <c:order val="4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Data!$H$26:$H$36</c:f>
              <c:numCache>
                <c:formatCode>General</c:formatCode>
                <c:ptCount val="11"/>
                <c:pt idx="0">
                  <c:v>0.39</c:v>
                </c:pt>
                <c:pt idx="1">
                  <c:v>0.17</c:v>
                </c:pt>
                <c:pt idx="2" formatCode="0.0">
                  <c:v>0.7</c:v>
                </c:pt>
                <c:pt idx="3">
                  <c:v>0.17</c:v>
                </c:pt>
                <c:pt idx="4">
                  <c:v>0.17</c:v>
                </c:pt>
                <c:pt idx="5" formatCode="0.0">
                  <c:v>0.5</c:v>
                </c:pt>
                <c:pt idx="6">
                  <c:v>0.33</c:v>
                </c:pt>
                <c:pt idx="7">
                  <c:v>0.19</c:v>
                </c:pt>
                <c:pt idx="8" formatCode="0.0">
                  <c:v>56.2</c:v>
                </c:pt>
                <c:pt idx="9" formatCode="0.0">
                  <c:v>42.4</c:v>
                </c:pt>
                <c:pt idx="10">
                  <c:v>23.9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ser>
          <c:idx val="0"/>
          <c:order val="5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Data!$H$6:$H$15</c:f>
              <c:numCache>
                <c:formatCode>General</c:formatCode>
                <c:ptCount val="10"/>
                <c:pt idx="0">
                  <c:v>0.26</c:v>
                </c:pt>
                <c:pt idx="1">
                  <c:v>0.2</c:v>
                </c:pt>
                <c:pt idx="2">
                  <c:v>0.17</c:v>
                </c:pt>
                <c:pt idx="3" formatCode="0.0">
                  <c:v>1.9</c:v>
                </c:pt>
                <c:pt idx="4">
                  <c:v>2.59</c:v>
                </c:pt>
                <c:pt idx="5" formatCode="0.0">
                  <c:v>100.6</c:v>
                </c:pt>
                <c:pt idx="6">
                  <c:v>610.0</c:v>
                </c:pt>
                <c:pt idx="7">
                  <c:v>961.0</c:v>
                </c:pt>
                <c:pt idx="8" formatCode="0.0">
                  <c:v>1022.0</c:v>
                </c:pt>
                <c:pt idx="9">
                  <c:v>730.0</c:v>
                </c:pt>
              </c:numCache>
            </c:numRef>
          </c:xVal>
          <c:yVal>
            <c:numRef>
              <c:f>Data!$G$6:$G$15</c:f>
              <c:numCache>
                <c:formatCode>General</c:formatCode>
                <c:ptCount val="10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074824"/>
        <c:axId val="-2092066552"/>
      </c:scatterChart>
      <c:valAx>
        <c:axId val="-209207482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Pt (ppb)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066552"/>
        <c:crossesAt val="0.01"/>
        <c:crossBetween val="midCat"/>
      </c:valAx>
      <c:valAx>
        <c:axId val="-2092066552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074824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93141002603"/>
          <c:y val="0.305429856982163"/>
          <c:w val="0.142068916696616"/>
          <c:h val="0.2873303337082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724137931034"/>
          <c:y val="0.0452488687782805"/>
          <c:w val="0.678620689655172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Data!$P$19:$P$19</c:f>
              <c:numCache>
                <c:formatCode>0</c:formatCode>
                <c:ptCount val="1"/>
              </c:numCache>
            </c:numRef>
          </c:xVal>
          <c:yVal>
            <c:numRef>
              <c:f>Data!$DH$19:$DH$19</c:f>
              <c:numCache>
                <c:formatCode>0.00</c:formatCode>
                <c:ptCount val="1"/>
                <c:pt idx="0">
                  <c:v>4.9704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Data!$DH$20:$DH$22</c:f>
              <c:numCache>
                <c:formatCode>0.00</c:formatCode>
                <c:ptCount val="3"/>
                <c:pt idx="0">
                  <c:v>11.56328125</c:v>
                </c:pt>
                <c:pt idx="1">
                  <c:v>7.675419847328245</c:v>
                </c:pt>
              </c:numCache>
            </c:numRef>
          </c:xVal>
          <c:yVal>
            <c:numRef>
              <c:f>Data!$G$20:$G$22</c:f>
              <c:numCache>
                <c:formatCode>General</c:formatCode>
                <c:ptCount val="3"/>
                <c:pt idx="0">
                  <c:v>131.0</c:v>
                </c:pt>
                <c:pt idx="1">
                  <c:v>625.0</c:v>
                </c:pt>
                <c:pt idx="2">
                  <c:v>1.23</c:v>
                </c:pt>
              </c:numCache>
            </c:numRef>
          </c:yVal>
          <c:smooth val="0"/>
        </c:ser>
        <c:ser>
          <c:idx val="5"/>
          <c:order val="2"/>
          <c:tx>
            <c:v>Sill 2B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Data!$DH$38:$DH$41</c:f>
              <c:numCache>
                <c:formatCode>0.00</c:formatCode>
                <c:ptCount val="4"/>
                <c:pt idx="0">
                  <c:v>5.243999999999999</c:v>
                </c:pt>
                <c:pt idx="1">
                  <c:v>6.733733528550512</c:v>
                </c:pt>
                <c:pt idx="3">
                  <c:v>7.771000000000001</c:v>
                </c:pt>
              </c:numCache>
            </c:numRef>
          </c:xVal>
          <c:yVal>
            <c:numRef>
              <c:f>Data!$G$38:$G$41</c:f>
              <c:numCache>
                <c:formatCode>General</c:formatCode>
                <c:ptCount val="4"/>
                <c:pt idx="0">
                  <c:v>0.21</c:v>
                </c:pt>
                <c:pt idx="1">
                  <c:v>322.0</c:v>
                </c:pt>
                <c:pt idx="2">
                  <c:v>57.4</c:v>
                </c:pt>
                <c:pt idx="3">
                  <c:v>0.61</c:v>
                </c:pt>
              </c:numCache>
            </c:numRef>
          </c:yVal>
          <c:smooth val="0"/>
        </c:ser>
        <c:ser>
          <c:idx val="3"/>
          <c:order val="3"/>
          <c:tx>
            <c:v>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Data!$DH$23:$DH$25</c:f>
              <c:numCache>
                <c:formatCode>0.00</c:formatCode>
                <c:ptCount val="3"/>
                <c:pt idx="0">
                  <c:v>0.342987012987013</c:v>
                </c:pt>
                <c:pt idx="2">
                  <c:v>1.00985</c:v>
                </c:pt>
              </c:numCache>
            </c:numRef>
          </c:xVal>
          <c:yVal>
            <c:numRef>
              <c:f>Data!$G$23:$G$25</c:f>
              <c:numCache>
                <c:formatCode>General</c:formatCode>
                <c:ptCount val="3"/>
                <c:pt idx="0">
                  <c:v>0.49</c:v>
                </c:pt>
                <c:pt idx="1">
                  <c:v>0.99</c:v>
                </c:pt>
                <c:pt idx="2">
                  <c:v>0.73</c:v>
                </c:pt>
              </c:numCache>
            </c:numRef>
          </c:yVal>
          <c:smooth val="0"/>
        </c:ser>
        <c:ser>
          <c:idx val="4"/>
          <c:order val="4"/>
          <c:tx>
            <c:v>Sill 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Data!$DH$26:$DH$36</c:f>
              <c:numCache>
                <c:formatCode>0.00</c:formatCode>
                <c:ptCount val="11"/>
                <c:pt idx="0">
                  <c:v>0.684</c:v>
                </c:pt>
                <c:pt idx="1">
                  <c:v>0.339466666666667</c:v>
                </c:pt>
                <c:pt idx="2">
                  <c:v>0.329374592833876</c:v>
                </c:pt>
                <c:pt idx="4">
                  <c:v>5.061599999999999</c:v>
                </c:pt>
                <c:pt idx="5">
                  <c:v>1.798666666666667</c:v>
                </c:pt>
                <c:pt idx="7">
                  <c:v>2.128</c:v>
                </c:pt>
                <c:pt idx="8">
                  <c:v>4.473142857142857</c:v>
                </c:pt>
                <c:pt idx="9">
                  <c:v>3.3192</c:v>
                </c:pt>
                <c:pt idx="10">
                  <c:v>13.76685714285714</c:v>
                </c:pt>
              </c:numCache>
            </c:numRef>
          </c:xVal>
          <c:yVal>
            <c:numRef>
              <c:f>Data!$G$26:$G$36</c:f>
              <c:numCache>
                <c:formatCode>General</c:formatCode>
                <c:ptCount val="11"/>
                <c:pt idx="0">
                  <c:v>4.79</c:v>
                </c:pt>
                <c:pt idx="1">
                  <c:v>0.12</c:v>
                </c:pt>
                <c:pt idx="2" formatCode="0.0">
                  <c:v>1.4</c:v>
                </c:pt>
                <c:pt idx="3">
                  <c:v>0.12</c:v>
                </c:pt>
                <c:pt idx="4">
                  <c:v>0.12</c:v>
                </c:pt>
                <c:pt idx="5" formatCode="0.0">
                  <c:v>1.0</c:v>
                </c:pt>
                <c:pt idx="6">
                  <c:v>0.45</c:v>
                </c:pt>
                <c:pt idx="7">
                  <c:v>0.23</c:v>
                </c:pt>
                <c:pt idx="8" formatCode="0.0">
                  <c:v>60.8</c:v>
                </c:pt>
                <c:pt idx="9" formatCode="0.0">
                  <c:v>120.7</c:v>
                </c:pt>
                <c:pt idx="10">
                  <c:v>74.2</c:v>
                </c:pt>
              </c:numCache>
            </c:numRef>
          </c:yVal>
          <c:smooth val="0"/>
        </c:ser>
        <c:ser>
          <c:idx val="0"/>
          <c:order val="5"/>
          <c:tx>
            <c:v>Ni Reward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Data!$DH$6:$DH$15</c:f>
              <c:numCache>
                <c:formatCode>0.00</c:formatCode>
                <c:ptCount val="10"/>
                <c:pt idx="0">
                  <c:v>3.923499999999999</c:v>
                </c:pt>
                <c:pt idx="1">
                  <c:v>2.010833333333334</c:v>
                </c:pt>
                <c:pt idx="2">
                  <c:v>2.121090909090909</c:v>
                </c:pt>
                <c:pt idx="3">
                  <c:v>2.068285714285714</c:v>
                </c:pt>
                <c:pt idx="4">
                  <c:v>3.6195</c:v>
                </c:pt>
                <c:pt idx="5">
                  <c:v>7.528375757575758</c:v>
                </c:pt>
                <c:pt idx="6">
                  <c:v>3.877551020408163</c:v>
                </c:pt>
                <c:pt idx="7">
                  <c:v>3.98300283286119</c:v>
                </c:pt>
                <c:pt idx="8">
                  <c:v>2.719061583577712</c:v>
                </c:pt>
                <c:pt idx="9">
                  <c:v>3.938375350140055</c:v>
                </c:pt>
              </c:numCache>
            </c:numRef>
          </c:xVal>
          <c:yVal>
            <c:numRef>
              <c:f>Data!$G$6:$G$15</c:f>
              <c:numCache>
                <c:formatCode>General</c:formatCode>
                <c:ptCount val="10"/>
                <c:pt idx="0">
                  <c:v>0.21</c:v>
                </c:pt>
                <c:pt idx="1">
                  <c:v>0.26</c:v>
                </c:pt>
                <c:pt idx="2">
                  <c:v>0.13</c:v>
                </c:pt>
                <c:pt idx="3" formatCode="0.0">
                  <c:v>2.3</c:v>
                </c:pt>
                <c:pt idx="4">
                  <c:v>4.08</c:v>
                </c:pt>
                <c:pt idx="5" formatCode="0.0">
                  <c:v>140.9</c:v>
                </c:pt>
                <c:pt idx="6">
                  <c:v>582.0</c:v>
                </c:pt>
                <c:pt idx="7">
                  <c:v>593.0</c:v>
                </c:pt>
                <c:pt idx="8" formatCode="0.0">
                  <c:v>3323.0</c:v>
                </c:pt>
                <c:pt idx="9">
                  <c:v>729.0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201256"/>
        <c:axId val="-2092192984"/>
      </c:scatterChart>
      <c:valAx>
        <c:axId val="-2092201256"/>
        <c:scaling>
          <c:logBase val="10.0"/>
          <c:orientation val="minMax"/>
          <c:max val="100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 100</a:t>
                </a:r>
              </a:p>
            </c:rich>
          </c:tx>
          <c:layout>
            <c:manualLayout>
              <c:xMode val="edge"/>
              <c:yMode val="edge"/>
              <c:x val="0.451034482758621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192984"/>
        <c:crossesAt val="0.01"/>
        <c:crossBetween val="midCat"/>
      </c:valAx>
      <c:valAx>
        <c:axId val="-2092192984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(ppb)</a:t>
                </a:r>
              </a:p>
            </c:rich>
          </c:tx>
          <c:layout>
            <c:manualLayout>
              <c:xMode val="edge"/>
              <c:yMode val="edge"/>
              <c:x val="0.0179310344827586"/>
              <c:y val="0.3687782805429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201256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793103448276"/>
          <c:y val="0.119909502262443"/>
          <c:w val="0.142068965517241"/>
          <c:h val="0.28733031674208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586206896552"/>
          <c:y val="0.0452488687782805"/>
          <c:w val="0.623448275862069"/>
          <c:h val="0.742081447963801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Data!$P$19:$P$19</c:f>
              <c:numCache>
                <c:formatCode>0</c:formatCode>
                <c:ptCount val="1"/>
              </c:numCache>
            </c:numRef>
          </c:xVal>
          <c:yVal>
            <c:numRef>
              <c:f>Data!$DH$19:$DH$19</c:f>
              <c:numCache>
                <c:formatCode>0.00</c:formatCode>
                <c:ptCount val="1"/>
                <c:pt idx="0">
                  <c:v>4.9704</c:v>
                </c:pt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Data!$P$20:$P$22</c:f>
              <c:numCache>
                <c:formatCode>0</c:formatCode>
                <c:ptCount val="3"/>
                <c:pt idx="0">
                  <c:v>2206.896551724138</c:v>
                </c:pt>
                <c:pt idx="1">
                  <c:v>2190.635451505017</c:v>
                </c:pt>
              </c:numCache>
            </c:numRef>
          </c:xVal>
          <c:yVal>
            <c:numRef>
              <c:f>Data!$DH$20:$DH$22</c:f>
              <c:numCache>
                <c:formatCode>0.00</c:formatCode>
                <c:ptCount val="3"/>
                <c:pt idx="0">
                  <c:v>11.56328125</c:v>
                </c:pt>
                <c:pt idx="1">
                  <c:v>7.675419847328245</c:v>
                </c:pt>
              </c:numCache>
            </c:numRef>
          </c:yVal>
          <c:smooth val="0"/>
        </c:ser>
        <c:ser>
          <c:idx val="5"/>
          <c:order val="2"/>
          <c:tx>
            <c:v>Sill 2B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Data!$DH$38:$DH$41</c:f>
              <c:numCache>
                <c:formatCode>0.00</c:formatCode>
                <c:ptCount val="4"/>
                <c:pt idx="0">
                  <c:v>5.243999999999999</c:v>
                </c:pt>
                <c:pt idx="1">
                  <c:v>6.733733528550512</c:v>
                </c:pt>
                <c:pt idx="3">
                  <c:v>7.771000000000001</c:v>
                </c:pt>
              </c:numCache>
            </c:numRef>
          </c:yVal>
          <c:smooth val="0"/>
        </c:ser>
        <c:ser>
          <c:idx val="3"/>
          <c:order val="3"/>
          <c:tx>
            <c:v>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Data!$P$23:$P$25</c:f>
              <c:numCache>
                <c:formatCode>0</c:formatCode>
                <c:ptCount val="3"/>
                <c:pt idx="0">
                  <c:v>30800.0</c:v>
                </c:pt>
                <c:pt idx="2">
                  <c:v>6666.666666666666</c:v>
                </c:pt>
              </c:numCache>
            </c:numRef>
          </c:xVal>
          <c:yVal>
            <c:numRef>
              <c:f>Data!$DH$23:$DH$25</c:f>
              <c:numCache>
                <c:formatCode>0.00</c:formatCode>
                <c:ptCount val="3"/>
                <c:pt idx="0">
                  <c:v>0.342987012987013</c:v>
                </c:pt>
                <c:pt idx="2">
                  <c:v>1.00985</c:v>
                </c:pt>
              </c:numCache>
            </c:numRef>
          </c:yVal>
          <c:smooth val="0"/>
        </c:ser>
        <c:ser>
          <c:idx val="6"/>
          <c:order val="4"/>
          <c:tx>
            <c:v>mantle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865357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Pt>
            <c:idx val="1"/>
            <c:marker>
              <c:symbol val="none"/>
            </c:marker>
            <c:bubble3D val="0"/>
            <c:spPr>
              <a:ln w="25400">
                <a:solidFill>
                  <a:srgbClr val="0000D4"/>
                </a:solidFill>
                <a:prstDash val="lgDash"/>
              </a:ln>
            </c:spPr>
          </c:dPt>
          <c:xVal>
            <c:numRef>
              <c:f>Data!$P$43:$P$62</c:f>
              <c:numCache>
                <c:formatCode>General</c:formatCode>
                <c:ptCount val="20"/>
                <c:pt idx="0">
                  <c:v>2026.315789473684</c:v>
                </c:pt>
                <c:pt idx="1">
                  <c:v>2089.55223880597</c:v>
                </c:pt>
                <c:pt idx="3">
                  <c:v>2230.76923076923</c:v>
                </c:pt>
                <c:pt idx="4">
                  <c:v>5304.51866404715</c:v>
                </c:pt>
                <c:pt idx="6">
                  <c:v>5217.391304347826</c:v>
                </c:pt>
                <c:pt idx="7">
                  <c:v>2041.420118343195</c:v>
                </c:pt>
                <c:pt idx="8">
                  <c:v>2071.895424836601</c:v>
                </c:pt>
                <c:pt idx="9">
                  <c:v>2305.882352941176</c:v>
                </c:pt>
                <c:pt idx="10">
                  <c:v>4126.58227848101</c:v>
                </c:pt>
                <c:pt idx="11">
                  <c:v>1939.890710382514</c:v>
                </c:pt>
                <c:pt idx="12">
                  <c:v>2409.836065573771</c:v>
                </c:pt>
                <c:pt idx="14">
                  <c:v>2388.571428571428</c:v>
                </c:pt>
                <c:pt idx="15">
                  <c:v>2555.555555555555</c:v>
                </c:pt>
                <c:pt idx="16">
                  <c:v>3880.597014925373</c:v>
                </c:pt>
                <c:pt idx="18">
                  <c:v>12380.19169329073</c:v>
                </c:pt>
                <c:pt idx="19">
                  <c:v>4285.714285714286</c:v>
                </c:pt>
              </c:numCache>
            </c:numRef>
          </c:xVal>
          <c:yVal>
            <c:numRef>
              <c:f>Data!$DH$43:$DH$62</c:f>
              <c:numCache>
                <c:formatCode>0.00</c:formatCode>
                <c:ptCount val="20"/>
                <c:pt idx="0">
                  <c:v>5.902337662337664</c:v>
                </c:pt>
                <c:pt idx="1">
                  <c:v>6.984065934065934</c:v>
                </c:pt>
                <c:pt idx="3">
                  <c:v>5.08544827586207</c:v>
                </c:pt>
                <c:pt idx="4">
                  <c:v>2.108296296296296</c:v>
                </c:pt>
                <c:pt idx="6">
                  <c:v>30.1834</c:v>
                </c:pt>
                <c:pt idx="7">
                  <c:v>3.623768115942029</c:v>
                </c:pt>
                <c:pt idx="8">
                  <c:v>0.695268138801262</c:v>
                </c:pt>
                <c:pt idx="9">
                  <c:v>15.24013265306123</c:v>
                </c:pt>
                <c:pt idx="10">
                  <c:v>5.245398773006135</c:v>
                </c:pt>
                <c:pt idx="11">
                  <c:v>6.28338028169014</c:v>
                </c:pt>
                <c:pt idx="12">
                  <c:v>7.625850340136055</c:v>
                </c:pt>
                <c:pt idx="14">
                  <c:v>6.90909090909091</c:v>
                </c:pt>
                <c:pt idx="15">
                  <c:v>5.817304347826087</c:v>
                </c:pt>
                <c:pt idx="16">
                  <c:v>5.115384615384615</c:v>
                </c:pt>
                <c:pt idx="18">
                  <c:v>1.117322580645161</c:v>
                </c:pt>
                <c:pt idx="19">
                  <c:v>3.584666666666667</c:v>
                </c:pt>
              </c:numCache>
            </c:numRef>
          </c:yVal>
          <c:smooth val="0"/>
        </c:ser>
        <c:ser>
          <c:idx val="4"/>
          <c:order val="5"/>
          <c:tx>
            <c:v>Sill 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xVal>
          <c:yVal>
            <c:numRef>
              <c:f>Data!$DH$26:$DH$36</c:f>
              <c:numCache>
                <c:formatCode>0.00</c:formatCode>
                <c:ptCount val="11"/>
                <c:pt idx="0">
                  <c:v>0.684</c:v>
                </c:pt>
                <c:pt idx="1">
                  <c:v>0.339466666666667</c:v>
                </c:pt>
                <c:pt idx="2">
                  <c:v>0.329374592833876</c:v>
                </c:pt>
                <c:pt idx="4">
                  <c:v>5.061599999999999</c:v>
                </c:pt>
                <c:pt idx="5">
                  <c:v>1.798666666666667</c:v>
                </c:pt>
                <c:pt idx="7">
                  <c:v>2.128</c:v>
                </c:pt>
                <c:pt idx="8">
                  <c:v>4.473142857142857</c:v>
                </c:pt>
                <c:pt idx="9">
                  <c:v>3.3192</c:v>
                </c:pt>
                <c:pt idx="10">
                  <c:v>13.76685714285714</c:v>
                </c:pt>
              </c:numCache>
            </c:numRef>
          </c:yVal>
          <c:smooth val="0"/>
        </c:ser>
        <c:ser>
          <c:idx val="0"/>
          <c:order val="6"/>
          <c:tx>
            <c:v>Ni Reward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Data!$P$6:$P$15</c:f>
              <c:numCache>
                <c:formatCode>0</c:formatCode>
                <c:ptCount val="10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</c:numCache>
            </c:numRef>
          </c:xVal>
          <c:yVal>
            <c:numRef>
              <c:f>Data!$DH$6:$DH$15</c:f>
              <c:numCache>
                <c:formatCode>0.00</c:formatCode>
                <c:ptCount val="10"/>
                <c:pt idx="0">
                  <c:v>3.923499999999999</c:v>
                </c:pt>
                <c:pt idx="1">
                  <c:v>2.010833333333334</c:v>
                </c:pt>
                <c:pt idx="2">
                  <c:v>2.121090909090909</c:v>
                </c:pt>
                <c:pt idx="3">
                  <c:v>2.068285714285714</c:v>
                </c:pt>
                <c:pt idx="4">
                  <c:v>3.6195</c:v>
                </c:pt>
                <c:pt idx="5">
                  <c:v>7.528375757575758</c:v>
                </c:pt>
                <c:pt idx="6">
                  <c:v>3.877551020408163</c:v>
                </c:pt>
                <c:pt idx="7">
                  <c:v>3.98300283286119</c:v>
                </c:pt>
                <c:pt idx="8">
                  <c:v>2.719061583577712</c:v>
                </c:pt>
                <c:pt idx="9">
                  <c:v>3.938375350140055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287912"/>
        <c:axId val="-2092279976"/>
      </c:scatterChart>
      <c:valAx>
        <c:axId val="-2092287912"/>
        <c:scaling>
          <c:logBase val="10.0"/>
          <c:orientation val="minMax"/>
          <c:min val="10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57931034482759"/>
              <c:y val="0.9049773755656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92279976"/>
        <c:crossesAt val="0.01"/>
        <c:crossBetween val="midCat"/>
      </c:valAx>
      <c:valAx>
        <c:axId val="-2092279976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 (wt%) in 100% sulphides</a:t>
                </a:r>
              </a:p>
            </c:rich>
          </c:tx>
          <c:layout>
            <c:manualLayout>
              <c:xMode val="edge"/>
              <c:yMode val="edge"/>
              <c:x val="0.0537931034482758"/>
              <c:y val="0.2104072398190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92287912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586211771871"/>
          <c:y val="0.119909502262443"/>
          <c:w val="0.142068995519206"/>
          <c:h val="0.28733031674208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68965517241"/>
          <c:y val="0.0452488687782805"/>
          <c:w val="0.663448275862069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Data!$P$19:$P$19</c:f>
              <c:numCache>
                <c:formatCode>0</c:formatCode>
                <c:ptCount val="1"/>
              </c:numCache>
            </c:numRef>
          </c:xVal>
          <c:yVal>
            <c:numRef>
              <c:f>Data!$DI$19:$DI$19</c:f>
              <c:numCache>
                <c:formatCode>0.00</c:formatCode>
                <c:ptCount val="1"/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Data!$P$22:$P$22</c:f>
              <c:numCache>
                <c:formatCode>0</c:formatCode>
                <c:ptCount val="1"/>
              </c:numCache>
            </c:numRef>
          </c:xVal>
          <c:yVal>
            <c:numRef>
              <c:f>Data!$DI$22:$DI$22</c:f>
              <c:numCache>
                <c:formatCode>0.00</c:formatCode>
                <c:ptCount val="1"/>
              </c:numCache>
            </c:numRef>
          </c:yVal>
          <c:smooth val="0"/>
        </c:ser>
        <c:ser>
          <c:idx val="5"/>
          <c:order val="2"/>
          <c:tx>
            <c:v>Sill 2B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xVal>
          <c:yVal>
            <c:numRef>
              <c:f>Data!$DI$38:$DI$41</c:f>
              <c:numCache>
                <c:formatCode>0.00</c:formatCode>
                <c:ptCount val="4"/>
                <c:pt idx="1">
                  <c:v>1.791508052708638</c:v>
                </c:pt>
                <c:pt idx="2">
                  <c:v>3.161159420289855</c:v>
                </c:pt>
              </c:numCache>
            </c:numRef>
          </c:yVal>
          <c:smooth val="0"/>
        </c:ser>
        <c:ser>
          <c:idx val="3"/>
          <c:order val="3"/>
          <c:tx>
            <c:v>Sill 3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Data!$P$22:$P$25</c:f>
              <c:numCache>
                <c:formatCode>0</c:formatCode>
                <c:ptCount val="4"/>
                <c:pt idx="1">
                  <c:v>30800.0</c:v>
                </c:pt>
                <c:pt idx="3">
                  <c:v>6666.666666666666</c:v>
                </c:pt>
              </c:numCache>
            </c:numRef>
          </c:xVal>
          <c:yVal>
            <c:numRef>
              <c:f>Data!$DI$22:$DI$25</c:f>
              <c:numCache>
                <c:formatCode>0.00</c:formatCode>
                <c:ptCount val="4"/>
              </c:numCache>
            </c:numRef>
          </c:yVal>
          <c:smooth val="0"/>
        </c:ser>
        <c:ser>
          <c:idx val="4"/>
          <c:order val="4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Data!$F$26:$F$36</c:f>
              <c:numCache>
                <c:formatCode>General</c:formatCode>
                <c:ptCount val="11"/>
                <c:pt idx="0">
                  <c:v>0.02</c:v>
                </c:pt>
                <c:pt idx="1">
                  <c:v>0.01</c:v>
                </c:pt>
                <c:pt idx="3">
                  <c:v>0.01</c:v>
                </c:pt>
                <c:pt idx="4">
                  <c:v>0.01</c:v>
                </c:pt>
                <c:pt idx="6">
                  <c:v>0.02</c:v>
                </c:pt>
                <c:pt idx="7">
                  <c:v>0.02</c:v>
                </c:pt>
                <c:pt idx="10">
                  <c:v>1.24</c:v>
                </c:pt>
              </c:numCache>
            </c:numRef>
          </c:xVal>
          <c:yVal>
            <c:numRef>
              <c:f>Data!$DI$26:$DI$36</c:f>
              <c:numCache>
                <c:formatCode>0.00</c:formatCode>
                <c:ptCount val="11"/>
                <c:pt idx="2" formatCode="General">
                  <c:v>0.0</c:v>
                </c:pt>
                <c:pt idx="5" formatCode="General">
                  <c:v>0.0</c:v>
                </c:pt>
                <c:pt idx="8" formatCode="General">
                  <c:v>0.0</c:v>
                </c:pt>
                <c:pt idx="9" formatCode="General">
                  <c:v>0.0</c:v>
                </c:pt>
              </c:numCache>
            </c:numRef>
          </c:yVal>
          <c:smooth val="0"/>
        </c:ser>
        <c:ser>
          <c:idx val="0"/>
          <c:order val="5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Data!$P$6:$P$15</c:f>
              <c:numCache>
                <c:formatCode>0</c:formatCode>
                <c:ptCount val="10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</c:numCache>
            </c:numRef>
          </c:xVal>
          <c:yVal>
            <c:numRef>
              <c:f>Data!$DI$6:$DI$15</c:f>
              <c:numCache>
                <c:formatCode>0.00</c:formatCode>
                <c:ptCount val="10"/>
                <c:pt idx="3" formatCode="General">
                  <c:v>0.0</c:v>
                </c:pt>
                <c:pt idx="5" formatCode="General">
                  <c:v>0.0</c:v>
                </c:pt>
                <c:pt idx="6">
                  <c:v>564.1836734693877</c:v>
                </c:pt>
                <c:pt idx="7">
                  <c:v>638.356940509915</c:v>
                </c:pt>
                <c:pt idx="8" formatCode="0">
                  <c:v>1022.0</c:v>
                </c:pt>
                <c:pt idx="9">
                  <c:v>775.9663865546217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409720"/>
        <c:axId val="-2092401512"/>
      </c:scatterChart>
      <c:valAx>
        <c:axId val="-209240972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44551724137931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401512"/>
        <c:crosses val="autoZero"/>
        <c:crossBetween val="midCat"/>
      </c:valAx>
      <c:valAx>
        <c:axId val="-2092401512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 (100)</a:t>
                </a:r>
              </a:p>
            </c:rich>
          </c:tx>
          <c:layout>
            <c:manualLayout>
              <c:xMode val="edge"/>
              <c:yMode val="edge"/>
              <c:x val="0.00827586206896552"/>
              <c:y val="0.373303167420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409720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93103448276"/>
          <c:y val="0.305429864253394"/>
          <c:w val="0.142068965517241"/>
          <c:h val="0.2873303167420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2413793103"/>
          <c:y val="0.0452488687782805"/>
          <c:w val="0.659310344827586"/>
          <c:h val="0.809954751131222"/>
        </c:manualLayout>
      </c:layout>
      <c:scatterChart>
        <c:scatterStyle val="lineMarker"/>
        <c:varyColors val="0"/>
        <c:ser>
          <c:idx val="1"/>
          <c:order val="0"/>
          <c:tx>
            <c:v>Sill 1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Data!$N$19:$N$19</c:f>
              <c:numCache>
                <c:formatCode>General</c:formatCode>
                <c:ptCount val="1"/>
                <c:pt idx="0">
                  <c:v>500.0</c:v>
                </c:pt>
              </c:numCache>
            </c:numRef>
          </c:xVal>
          <c:yVal>
            <c:numRef>
              <c:f>Data!$P$19:$P$19</c:f>
              <c:numCache>
                <c:formatCode>0</c:formatCode>
                <c:ptCount val="1"/>
              </c:numCache>
            </c:numRef>
          </c:yVal>
          <c:smooth val="0"/>
        </c:ser>
        <c:ser>
          <c:idx val="2"/>
          <c:order val="1"/>
          <c:tx>
            <c:v>Sill 2 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Data!$N$22:$N$22</c:f>
              <c:numCache>
                <c:formatCode>General</c:formatCode>
                <c:ptCount val="1"/>
                <c:pt idx="0">
                  <c:v>200.0</c:v>
                </c:pt>
              </c:numCache>
            </c:numRef>
          </c:xVal>
          <c:yVal>
            <c:numRef>
              <c:f>Data!$P$22:$P$22</c:f>
              <c:numCache>
                <c:formatCode>0</c:formatCode>
                <c:ptCount val="1"/>
              </c:numCache>
            </c:numRef>
          </c:yVal>
          <c:smooth val="0"/>
        </c:ser>
        <c:ser>
          <c:idx val="6"/>
          <c:order val="2"/>
          <c:tx>
            <c:v>mantle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Data!$N$43:$N$62</c:f>
              <c:numCache>
                <c:formatCode>General</c:formatCode>
                <c:ptCount val="20"/>
                <c:pt idx="0">
                  <c:v>385000.0</c:v>
                </c:pt>
                <c:pt idx="1">
                  <c:v>364000.0</c:v>
                </c:pt>
                <c:pt idx="3">
                  <c:v>2900.0</c:v>
                </c:pt>
                <c:pt idx="4">
                  <c:v>2700.0</c:v>
                </c:pt>
                <c:pt idx="6">
                  <c:v>12000.0</c:v>
                </c:pt>
                <c:pt idx="7">
                  <c:v>345000.0</c:v>
                </c:pt>
                <c:pt idx="8">
                  <c:v>317000.0</c:v>
                </c:pt>
                <c:pt idx="9">
                  <c:v>19600.0</c:v>
                </c:pt>
                <c:pt idx="10">
                  <c:v>326</c:v>
                </c:pt>
                <c:pt idx="11">
                  <c:v>355000.0</c:v>
                </c:pt>
                <c:pt idx="12">
                  <c:v>29400.0</c:v>
                </c:pt>
                <c:pt idx="14">
                  <c:v>83600.0</c:v>
                </c:pt>
                <c:pt idx="15">
                  <c:v>2300.0</c:v>
                </c:pt>
                <c:pt idx="16">
                  <c:v>1300.0</c:v>
                </c:pt>
                <c:pt idx="18">
                  <c:v>6200.0</c:v>
                </c:pt>
                <c:pt idx="19">
                  <c:v>900.0</c:v>
                </c:pt>
              </c:numCache>
            </c:numRef>
          </c:xVal>
          <c:yVal>
            <c:numRef>
              <c:f>Data!$P$43:$P$62</c:f>
              <c:numCache>
                <c:formatCode>General</c:formatCode>
                <c:ptCount val="20"/>
                <c:pt idx="0">
                  <c:v>2026.315789473684</c:v>
                </c:pt>
                <c:pt idx="1">
                  <c:v>2089.55223880597</c:v>
                </c:pt>
                <c:pt idx="3">
                  <c:v>2230.76923076923</c:v>
                </c:pt>
                <c:pt idx="4">
                  <c:v>5304.51866404715</c:v>
                </c:pt>
                <c:pt idx="6">
                  <c:v>5217.391304347826</c:v>
                </c:pt>
                <c:pt idx="7">
                  <c:v>2041.420118343195</c:v>
                </c:pt>
                <c:pt idx="8">
                  <c:v>2071.895424836601</c:v>
                </c:pt>
                <c:pt idx="9">
                  <c:v>2305.882352941176</c:v>
                </c:pt>
                <c:pt idx="10">
                  <c:v>4126.58227848101</c:v>
                </c:pt>
                <c:pt idx="11">
                  <c:v>1939.890710382514</c:v>
                </c:pt>
                <c:pt idx="12">
                  <c:v>2409.836065573771</c:v>
                </c:pt>
                <c:pt idx="14">
                  <c:v>2388.571428571428</c:v>
                </c:pt>
                <c:pt idx="15">
                  <c:v>2555.555555555555</c:v>
                </c:pt>
                <c:pt idx="16">
                  <c:v>3880.597014925373</c:v>
                </c:pt>
                <c:pt idx="18">
                  <c:v>12380.19169329073</c:v>
                </c:pt>
                <c:pt idx="19">
                  <c:v>4285.714285714286</c:v>
                </c:pt>
              </c:numCache>
            </c:numRef>
          </c:yVal>
          <c:smooth val="0"/>
        </c:ser>
        <c:ser>
          <c:idx val="5"/>
          <c:order val="3"/>
          <c:tx>
            <c:v>Sill 2B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Data!$N$38:$N$41</c:f>
              <c:numCache>
                <c:formatCode>General</c:formatCode>
                <c:ptCount val="4"/>
                <c:pt idx="0">
                  <c:v>700.0000000000001</c:v>
                </c:pt>
                <c:pt idx="1">
                  <c:v>68300.0</c:v>
                </c:pt>
                <c:pt idx="2">
                  <c:v>69</c:v>
                </c:pt>
                <c:pt idx="3">
                  <c:v>600.0</c:v>
                </c:pt>
              </c:numCache>
            </c:numRef>
          </c:xVal>
          <c:yVal>
            <c:numRef>
              <c:f>Data!$P$38:$P$41</c:f>
              <c:numCache>
                <c:formatCode>0</c:formatCode>
                <c:ptCount val="4"/>
                <c:pt idx="1">
                  <c:v>2347.079037800687</c:v>
                </c:pt>
                <c:pt idx="2">
                  <c:v>2029.411764705882</c:v>
                </c:pt>
                <c:pt idx="3">
                  <c:v>1200.0</c:v>
                </c:pt>
              </c:numCache>
            </c:numRef>
          </c:yVal>
          <c:smooth val="0"/>
        </c:ser>
        <c:ser>
          <c:idx val="3"/>
          <c:order val="4"/>
          <c:tx>
            <c:v>Sill 3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Data!$N$22:$N$25</c:f>
              <c:numCache>
                <c:formatCode>General</c:formatCode>
                <c:ptCount val="4"/>
                <c:pt idx="0">
                  <c:v>200.0</c:v>
                </c:pt>
                <c:pt idx="1">
                  <c:v>15400.0</c:v>
                </c:pt>
                <c:pt idx="2">
                  <c:v>300.0</c:v>
                </c:pt>
                <c:pt idx="3">
                  <c:v>4000.0</c:v>
                </c:pt>
              </c:numCache>
            </c:numRef>
          </c:xVal>
          <c:yVal>
            <c:numRef>
              <c:f>Data!$P$22:$P$25</c:f>
              <c:numCache>
                <c:formatCode>0</c:formatCode>
                <c:ptCount val="4"/>
                <c:pt idx="1">
                  <c:v>30800.0</c:v>
                </c:pt>
                <c:pt idx="3">
                  <c:v>6666.666666666666</c:v>
                </c:pt>
              </c:numCache>
            </c:numRef>
          </c:yVal>
          <c:smooth val="0"/>
        </c:ser>
        <c:ser>
          <c:idx val="4"/>
          <c:order val="5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Data!$N$26:$N$36</c:f>
              <c:numCache>
                <c:formatCode>General</c:formatCode>
                <c:ptCount val="11"/>
                <c:pt idx="0">
                  <c:v>300.0</c:v>
                </c:pt>
                <c:pt idx="1">
                  <c:v>4500.0</c:v>
                </c:pt>
                <c:pt idx="2">
                  <c:v>30700.0</c:v>
                </c:pt>
                <c:pt idx="3">
                  <c:v>100.0</c:v>
                </c:pt>
                <c:pt idx="4">
                  <c:v>500.0</c:v>
                </c:pt>
                <c:pt idx="5">
                  <c:v>1800.0</c:v>
                </c:pt>
                <c:pt idx="6">
                  <c:v>100.0</c:v>
                </c:pt>
                <c:pt idx="7">
                  <c:v>50.0</c:v>
                </c:pt>
                <c:pt idx="8">
                  <c:v>2100.0</c:v>
                </c:pt>
                <c:pt idx="9">
                  <c:v>9500.0</c:v>
                </c:pt>
                <c:pt idx="10">
                  <c:v>1400.0</c:v>
                </c:pt>
              </c:numCache>
            </c:numRef>
          </c:xVal>
          <c:yVal>
            <c:numRef>
              <c:f>Data!$P$26:$P$36</c:f>
              <c:numCache>
                <c:formatCode>0</c:formatCode>
                <c:ptCount val="11"/>
                <c:pt idx="1">
                  <c:v>5625.0</c:v>
                </c:pt>
                <c:pt idx="2">
                  <c:v>7871.794871794872</c:v>
                </c:pt>
                <c:pt idx="5">
                  <c:v>6405.693950177935</c:v>
                </c:pt>
                <c:pt idx="8">
                  <c:v>3000.0</c:v>
                </c:pt>
                <c:pt idx="9">
                  <c:v>3800.0</c:v>
                </c:pt>
                <c:pt idx="10">
                  <c:v>1272.727272727273</c:v>
                </c:pt>
              </c:numCache>
            </c:numRef>
          </c:yVal>
          <c:smooth val="0"/>
        </c:ser>
        <c:ser>
          <c:idx val="0"/>
          <c:order val="6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Data!$N$6:$N$15</c:f>
              <c:numCache>
                <c:formatCode>General</c:formatCode>
                <c:ptCount val="10"/>
                <c:pt idx="0">
                  <c:v>800.0</c:v>
                </c:pt>
                <c:pt idx="1">
                  <c:v>1200.0</c:v>
                </c:pt>
                <c:pt idx="2">
                  <c:v>2200.0</c:v>
                </c:pt>
                <c:pt idx="3">
                  <c:v>2100.0</c:v>
                </c:pt>
                <c:pt idx="4">
                  <c:v>2000.0</c:v>
                </c:pt>
                <c:pt idx="5">
                  <c:v>16500.0</c:v>
                </c:pt>
                <c:pt idx="6">
                  <c:v>392000.0</c:v>
                </c:pt>
                <c:pt idx="7">
                  <c:v>353000.0</c:v>
                </c:pt>
                <c:pt idx="8">
                  <c:v>341000.0</c:v>
                </c:pt>
                <c:pt idx="9">
                  <c:v>357000.0</c:v>
                </c:pt>
              </c:numCache>
            </c:numRef>
          </c:xVal>
          <c:yVal>
            <c:numRef>
              <c:f>Data!$P$6:$P$15</c:f>
              <c:numCache>
                <c:formatCode>0</c:formatCode>
                <c:ptCount val="10"/>
                <c:pt idx="0">
                  <c:v>4000.0</c:v>
                </c:pt>
                <c:pt idx="1">
                  <c:v>6000.0</c:v>
                </c:pt>
                <c:pt idx="2">
                  <c:v>5500.0</c:v>
                </c:pt>
                <c:pt idx="3">
                  <c:v>4398.82697947214</c:v>
                </c:pt>
                <c:pt idx="4">
                  <c:v>3333.333333333333</c:v>
                </c:pt>
                <c:pt idx="5">
                  <c:v>2391.304347826087</c:v>
                </c:pt>
                <c:pt idx="6">
                  <c:v>2772.277227722772</c:v>
                </c:pt>
                <c:pt idx="7">
                  <c:v>2426.116838487972</c:v>
                </c:pt>
                <c:pt idx="8">
                  <c:v>2021.339656194428</c:v>
                </c:pt>
                <c:pt idx="9">
                  <c:v>2503.506311360449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454008"/>
        <c:axId val="-2092446056"/>
      </c:scatterChart>
      <c:valAx>
        <c:axId val="-2092454008"/>
        <c:scaling>
          <c:logBase val="10.0"/>
          <c:orientation val="minMax"/>
          <c:min val="10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 (ppm)</a:t>
                </a:r>
              </a:p>
            </c:rich>
          </c:tx>
          <c:layout>
            <c:manualLayout>
              <c:xMode val="edge"/>
              <c:yMode val="edge"/>
              <c:x val="0.419310262322182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446056"/>
        <c:crosses val="autoZero"/>
        <c:crossBetween val="midCat"/>
      </c:valAx>
      <c:valAx>
        <c:axId val="-2092446056"/>
        <c:scaling>
          <c:logBase val="10.0"/>
          <c:orientation val="minMax"/>
          <c:min val="10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S/Se</a:t>
                </a:r>
              </a:p>
            </c:rich>
          </c:tx>
          <c:layout>
            <c:manualLayout>
              <c:xMode val="edge"/>
              <c:yMode val="edge"/>
              <c:x val="0.00827587331970244"/>
              <c:y val="0.4049774135375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45400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53793122199504"/>
          <c:y val="0.305429856982163"/>
          <c:w val="0.142068886762083"/>
          <c:h val="0.2873303337082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49259600982"/>
          <c:y val="0.054304262015484"/>
          <c:w val="0.670344827586207"/>
          <c:h val="0.809954751131222"/>
        </c:manualLayout>
      </c:layout>
      <c:scatterChart>
        <c:scatterStyle val="lineMarker"/>
        <c:varyColors val="0"/>
        <c:ser>
          <c:idx val="5"/>
          <c:order val="0"/>
          <c:tx>
            <c:v>MF83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Data!$DC$57:$DC$59</c:f>
              <c:numCache>
                <c:formatCode>0.00</c:formatCode>
                <c:ptCount val="3"/>
                <c:pt idx="0">
                  <c:v>1.733490566037736</c:v>
                </c:pt>
                <c:pt idx="1">
                  <c:v>2.679792179382007</c:v>
                </c:pt>
                <c:pt idx="2">
                  <c:v>3.025728987993139</c:v>
                </c:pt>
              </c:numCache>
            </c:numRef>
          </c:xVal>
          <c:yVal>
            <c:numRef>
              <c:f>Data!$DB$57:$DB$59</c:f>
              <c:numCache>
                <c:formatCode>0.00</c:formatCode>
                <c:ptCount val="3"/>
                <c:pt idx="0">
                  <c:v>0.513487841945289</c:v>
                </c:pt>
                <c:pt idx="1">
                  <c:v>0.302051671732523</c:v>
                </c:pt>
                <c:pt idx="2">
                  <c:v>0.335612968591692</c:v>
                </c:pt>
              </c:numCache>
            </c:numRef>
          </c:yVal>
          <c:smooth val="0"/>
        </c:ser>
        <c:ser>
          <c:idx val="4"/>
          <c:order val="1"/>
          <c:tx>
            <c:v>MF95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Data!$DC$38:$DC$41</c:f>
              <c:numCache>
                <c:formatCode>0.00</c:formatCode>
                <c:ptCount val="4"/>
                <c:pt idx="0">
                  <c:v>2.609019668728601</c:v>
                </c:pt>
                <c:pt idx="1">
                  <c:v>2.30396199109849</c:v>
                </c:pt>
                <c:pt idx="2">
                  <c:v>2.412991755657611</c:v>
                </c:pt>
                <c:pt idx="3">
                  <c:v>2.394235148094902</c:v>
                </c:pt>
              </c:numCache>
            </c:numRef>
          </c:xVal>
          <c:yVal>
            <c:numRef>
              <c:f>Data!$DB$38:$DB$41</c:f>
              <c:numCache>
                <c:formatCode>0.00</c:formatCode>
                <c:ptCount val="4"/>
                <c:pt idx="0">
                  <c:v>0.384823842549833</c:v>
                </c:pt>
                <c:pt idx="1">
                  <c:v>0.425608697033562</c:v>
                </c:pt>
                <c:pt idx="2">
                  <c:v>0.388933950343226</c:v>
                </c:pt>
                <c:pt idx="3">
                  <c:v>0.387103063509838</c:v>
                </c:pt>
              </c:numCache>
            </c:numRef>
          </c:yVal>
          <c:smooth val="0"/>
        </c:ser>
        <c:ser>
          <c:idx val="0"/>
          <c:order val="2"/>
          <c:tx>
            <c:v>MF81A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Data!$DC$6:$DC$16</c:f>
              <c:numCache>
                <c:formatCode>0.00</c:formatCode>
                <c:ptCount val="11"/>
                <c:pt idx="0">
                  <c:v>2.023085460599334</c:v>
                </c:pt>
                <c:pt idx="1">
                  <c:v>2.301668859961611</c:v>
                </c:pt>
                <c:pt idx="2">
                  <c:v>2.307871022247254</c:v>
                </c:pt>
                <c:pt idx="3" formatCode="0.0">
                  <c:v>20.9</c:v>
                </c:pt>
                <c:pt idx="4">
                  <c:v>1.625577908284393</c:v>
                </c:pt>
                <c:pt idx="5" formatCode="0.0">
                  <c:v>28.1</c:v>
                </c:pt>
              </c:numCache>
            </c:numRef>
          </c:xVal>
          <c:yVal>
            <c:numRef>
              <c:f>Data!$DB$6:$DB$16</c:f>
              <c:numCache>
                <c:formatCode>0.00</c:formatCode>
                <c:ptCount val="11"/>
                <c:pt idx="0">
                  <c:v>0.416426572740917</c:v>
                </c:pt>
                <c:pt idx="1">
                  <c:v>0.400105276517642</c:v>
                </c:pt>
                <c:pt idx="2">
                  <c:v>0.386030163424973</c:v>
                </c:pt>
                <c:pt idx="4">
                  <c:v>0.536525681314718</c:v>
                </c:pt>
                <c:pt idx="5">
                  <c:v>0.02</c:v>
                </c:pt>
                <c:pt idx="8">
                  <c:v>0.16</c:v>
                </c:pt>
                <c:pt idx="10">
                  <c:v>0.22</c:v>
                </c:pt>
              </c:numCache>
            </c:numRef>
          </c:yVal>
          <c:smooth val="0"/>
        </c:ser>
        <c:ser>
          <c:idx val="6"/>
          <c:order val="3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Data!$DC$46:$DC$47</c:f>
              <c:numCache>
                <c:formatCode>0.00</c:formatCode>
                <c:ptCount val="2"/>
                <c:pt idx="0">
                  <c:v>2.69280087928192</c:v>
                </c:pt>
                <c:pt idx="1">
                  <c:v>2.440754716981132</c:v>
                </c:pt>
              </c:numCache>
            </c:numRef>
          </c:xVal>
          <c:yVal>
            <c:numRef>
              <c:f>Data!$DB$46:$DB$47</c:f>
              <c:numCache>
                <c:formatCode>0.00</c:formatCode>
                <c:ptCount val="2"/>
                <c:pt idx="0">
                  <c:v>0.374544072948328</c:v>
                </c:pt>
                <c:pt idx="1">
                  <c:v>0.340494611771207</c:v>
                </c:pt>
              </c:numCache>
            </c:numRef>
          </c:yVal>
          <c:smooth val="0"/>
        </c:ser>
        <c:ser>
          <c:idx val="7"/>
          <c:order val="4"/>
          <c:tx>
            <c:v>MF23-Sill 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Data!$DC$49:$DC$55</c:f>
              <c:numCache>
                <c:formatCode>0.00</c:formatCode>
                <c:ptCount val="7"/>
                <c:pt idx="0">
                  <c:v>3.033608490566038</c:v>
                </c:pt>
                <c:pt idx="3">
                  <c:v>3.51581185224555</c:v>
                </c:pt>
                <c:pt idx="4">
                  <c:v>6.656603773584904</c:v>
                </c:pt>
                <c:pt idx="6">
                  <c:v>3.73367198838897</c:v>
                </c:pt>
              </c:numCache>
            </c:numRef>
          </c:xVal>
          <c:yVal>
            <c:numRef>
              <c:f>Data!$DB$49:$DB$55</c:f>
              <c:numCache>
                <c:formatCode>0.00</c:formatCode>
                <c:ptCount val="7"/>
                <c:pt idx="0">
                  <c:v>0.448762483716891</c:v>
                </c:pt>
                <c:pt idx="3">
                  <c:v>0.295339412360689</c:v>
                </c:pt>
                <c:pt idx="4">
                  <c:v>0.389311043566363</c:v>
                </c:pt>
                <c:pt idx="6">
                  <c:v>0.448762483716891</c:v>
                </c:pt>
              </c:numCache>
            </c:numRef>
          </c:yVal>
          <c:smooth val="0"/>
        </c:ser>
        <c:ser>
          <c:idx val="3"/>
          <c:order val="5"/>
          <c:tx>
            <c:v>MF93-Sill 1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Data!$P$18:$P$19</c:f>
              <c:numCache>
                <c:formatCode>0</c:formatCode>
                <c:ptCount val="2"/>
              </c:numCache>
            </c:numRef>
          </c:xVal>
          <c:yVal>
            <c:numRef>
              <c:f>Data!$DH$18:$DH$19</c:f>
              <c:numCache>
                <c:formatCode>0.00</c:formatCode>
                <c:ptCount val="2"/>
                <c:pt idx="0">
                  <c:v>0.169272727272727</c:v>
                </c:pt>
                <c:pt idx="1">
                  <c:v>4.9704</c:v>
                </c:pt>
              </c:numCache>
            </c:numRef>
          </c:yVal>
          <c:smooth val="0"/>
        </c:ser>
        <c:ser>
          <c:idx val="9"/>
          <c:order val="6"/>
          <c:tx>
            <c:v>MF93 Sill 2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Data!$DC$20:$DC$22</c:f>
              <c:numCache>
                <c:formatCode>0.00</c:formatCode>
                <c:ptCount val="3"/>
                <c:pt idx="0">
                  <c:v>2.027238421955403</c:v>
                </c:pt>
                <c:pt idx="1">
                  <c:v>2.364124475365826</c:v>
                </c:pt>
                <c:pt idx="2">
                  <c:v>2.456057254391672</c:v>
                </c:pt>
              </c:numCache>
            </c:numRef>
          </c:xVal>
          <c:yVal>
            <c:numRef>
              <c:f>Data!$DB$20:$DB$22</c:f>
              <c:numCache>
                <c:formatCode>0.00</c:formatCode>
                <c:ptCount val="3"/>
                <c:pt idx="0">
                  <c:v>0.455231441576313</c:v>
                </c:pt>
                <c:pt idx="1">
                  <c:v>0.412456765538203</c:v>
                </c:pt>
                <c:pt idx="2">
                  <c:v>0.382285127214537</c:v>
                </c:pt>
              </c:numCache>
            </c:numRef>
          </c:yVal>
          <c:smooth val="0"/>
        </c:ser>
        <c:ser>
          <c:idx val="8"/>
          <c:order val="7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Data!$DC$24:$DC$25</c:f>
              <c:numCache>
                <c:formatCode>0.00</c:formatCode>
                <c:ptCount val="2"/>
                <c:pt idx="0">
                  <c:v>2.214348845252277</c:v>
                </c:pt>
                <c:pt idx="1">
                  <c:v>2.510118291133054</c:v>
                </c:pt>
              </c:numCache>
            </c:numRef>
          </c:xVal>
          <c:yVal>
            <c:numRef>
              <c:f>Data!$DB$24:$DB$25</c:f>
              <c:numCache>
                <c:formatCode>0.00</c:formatCode>
                <c:ptCount val="2"/>
                <c:pt idx="0">
                  <c:v>0.396571242478754</c:v>
                </c:pt>
                <c:pt idx="1">
                  <c:v>0.372491966170909</c:v>
                </c:pt>
              </c:numCache>
            </c:numRef>
          </c:yVal>
          <c:smooth val="0"/>
        </c:ser>
        <c:ser>
          <c:idx val="10"/>
          <c:order val="8"/>
          <c:tx>
            <c:v>MF93-Sill4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Data!$DC$26:$DC$36</c:f>
              <c:numCache>
                <c:formatCode>0.00</c:formatCode>
                <c:ptCount val="11"/>
                <c:pt idx="0">
                  <c:v>1.463813348589295</c:v>
                </c:pt>
                <c:pt idx="1">
                  <c:v>1.239019486545005</c:v>
                </c:pt>
                <c:pt idx="2" formatCode="0.0">
                  <c:v>2.2</c:v>
                </c:pt>
                <c:pt idx="3">
                  <c:v>1.08295686066082</c:v>
                </c:pt>
                <c:pt idx="4">
                  <c:v>0.956408588158751</c:v>
                </c:pt>
                <c:pt idx="5" formatCode="0.0">
                  <c:v>3.7</c:v>
                </c:pt>
                <c:pt idx="6">
                  <c:v>1.175559165313008</c:v>
                </c:pt>
                <c:pt idx="7">
                  <c:v>0.946646203845807</c:v>
                </c:pt>
                <c:pt idx="8" formatCode="0.0">
                  <c:v>8.7</c:v>
                </c:pt>
                <c:pt idx="9" formatCode="0.0">
                  <c:v>2.8</c:v>
                </c:pt>
                <c:pt idx="10">
                  <c:v>0.515536227817914</c:v>
                </c:pt>
              </c:numCache>
            </c:numRef>
          </c:xVal>
          <c:yVal>
            <c:numRef>
              <c:f>Data!$DB$26:$DB$36</c:f>
              <c:numCache>
                <c:formatCode>0.00</c:formatCode>
                <c:ptCount val="11"/>
                <c:pt idx="0">
                  <c:v>0.443971285413447</c:v>
                </c:pt>
                <c:pt idx="1">
                  <c:v>0.529560316220964</c:v>
                </c:pt>
                <c:pt idx="3">
                  <c:v>0.545024699855638</c:v>
                </c:pt>
                <c:pt idx="4">
                  <c:v>0.588930515303598</c:v>
                </c:pt>
                <c:pt idx="6">
                  <c:v>0.605133065073225</c:v>
                </c:pt>
                <c:pt idx="7">
                  <c:v>0.713632360878334</c:v>
                </c:pt>
                <c:pt idx="10">
                  <c:v>0.582838905775076</c:v>
                </c:pt>
              </c:numCache>
            </c:numRef>
          </c:yVal>
          <c:smooth val="0"/>
        </c:ser>
        <c:ser>
          <c:idx val="1"/>
          <c:order val="9"/>
          <c:tx>
            <c:v>Line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Data!$DC$63:$DC$63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Data!$DB$63:$DB$63</c:f>
              <c:numCache>
                <c:formatCode>General</c:formatCode>
                <c:ptCount val="1"/>
                <c:pt idx="0">
                  <c:v>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0352424"/>
        <c:axId val="-2140346360"/>
      </c:scatterChart>
      <c:valAx>
        <c:axId val="-2140352424"/>
        <c:scaling>
          <c:orientation val="minMax"/>
          <c:max val="3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(Th/Yb)PM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40346360"/>
        <c:crossesAt val="0.0"/>
        <c:crossBetween val="midCat"/>
      </c:valAx>
      <c:valAx>
        <c:axId val="-2140346360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(Nb/Th)PM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40352424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630178399410389"/>
          <c:y val="0.0994201708114613"/>
          <c:w val="0.128439333880323"/>
          <c:h val="0.478366567271452"/>
        </c:manualLayout>
      </c:layout>
      <c:overlay val="0"/>
      <c:spPr>
        <a:solidFill>
          <a:srgbClr val="FFFFFF"/>
        </a:solidFill>
        <a:ln w="15875"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10344827586207"/>
          <c:y val="0.0180995475113122"/>
          <c:w val="0.973793103448276"/>
          <c:h val="0.963800904977376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-2092481848"/>
        <c:axId val="-2092490232"/>
      </c:scatterChart>
      <c:valAx>
        <c:axId val="-2092481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490232"/>
        <c:crosses val="autoZero"/>
        <c:crossBetween val="midCat"/>
      </c:valAx>
      <c:valAx>
        <c:axId val="-2092490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481848"/>
        <c:crosses val="autoZero"/>
        <c:crossBetween val="midCat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95862068965517"/>
          <c:y val="0.5"/>
          <c:w val="0.0"/>
          <c:h val="0.002262443438914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79310344828"/>
          <c:y val="0.0361990950226244"/>
          <c:w val="0.718620689655172"/>
          <c:h val="0.823529411764706"/>
        </c:manualLayout>
      </c:layout>
      <c:scatterChart>
        <c:scatterStyle val="lineMarker"/>
        <c:varyColors val="0"/>
        <c:ser>
          <c:idx val="0"/>
          <c:order val="0"/>
          <c:tx>
            <c:v>Ni Reward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data'!$Q$8:$Q$14</c:f>
              <c:numCache>
                <c:formatCode>0</c:formatCode>
                <c:ptCount val="7"/>
                <c:pt idx="4">
                  <c:v>167364.0167364017</c:v>
                </c:pt>
                <c:pt idx="5">
                  <c:v>521861.7771509168</c:v>
                </c:pt>
                <c:pt idx="6">
                  <c:v>539358.6005830904</c:v>
                </c:pt>
              </c:numCache>
            </c:numRef>
          </c:xVal>
          <c:yVal>
            <c:numRef>
              <c:f>'SPider data'!$R$8:$R$14</c:f>
              <c:numCache>
                <c:formatCode>0</c:formatCode>
                <c:ptCount val="7"/>
                <c:pt idx="4">
                  <c:v>185567.0103092784</c:v>
                </c:pt>
                <c:pt idx="5">
                  <c:v>182124.78920742</c:v>
                </c:pt>
                <c:pt idx="6">
                  <c:v>148148.1481481481</c:v>
                </c:pt>
              </c:numCache>
            </c:numRef>
          </c:yVal>
          <c:smooth val="0"/>
        </c:ser>
        <c:ser>
          <c:idx val="1"/>
          <c:order val="1"/>
          <c:tx>
            <c:v>Sill 1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data'!$Q$17:$Q$35</c:f>
              <c:numCache>
                <c:formatCode>0</c:formatCode>
                <c:ptCount val="19"/>
                <c:pt idx="2">
                  <c:v>516796.875</c:v>
                </c:pt>
                <c:pt idx="3">
                  <c:v>618253.9682539682</c:v>
                </c:pt>
                <c:pt idx="15">
                  <c:v>460190.114068441</c:v>
                </c:pt>
              </c:numCache>
            </c:numRef>
          </c:xVal>
          <c:yVal>
            <c:numRef>
              <c:f>'SPider data'!$R$17:$R$35</c:f>
              <c:numCache>
                <c:formatCode>0</c:formatCode>
                <c:ptCount val="19"/>
                <c:pt idx="2">
                  <c:v>32387.2</c:v>
                </c:pt>
                <c:pt idx="3">
                  <c:v>44335.87786259542</c:v>
                </c:pt>
                <c:pt idx="15">
                  <c:v>63043.47826086957</c:v>
                </c:pt>
              </c:numCache>
            </c:numRef>
          </c:yVal>
          <c:smooth val="0"/>
        </c:ser>
        <c:ser>
          <c:idx val="2"/>
          <c:order val="2"/>
          <c:tx>
            <c:v>Sill 2A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data'!$Q$18:$Q$20</c:f>
              <c:numCache>
                <c:formatCode>0</c:formatCode>
                <c:ptCount val="3"/>
                <c:pt idx="1">
                  <c:v>516796.875</c:v>
                </c:pt>
                <c:pt idx="2">
                  <c:v>618253.9682539682</c:v>
                </c:pt>
              </c:numCache>
            </c:numRef>
          </c:xVal>
          <c:yVal>
            <c:numRef>
              <c:f>'SPider data'!$R$18:$R$20</c:f>
              <c:numCache>
                <c:formatCode>0</c:formatCode>
                <c:ptCount val="3"/>
                <c:pt idx="1">
                  <c:v>32387.2</c:v>
                </c:pt>
                <c:pt idx="2">
                  <c:v>44335.87786259542</c:v>
                </c:pt>
              </c:numCache>
            </c:numRef>
          </c:yVal>
          <c:smooth val="0"/>
        </c:ser>
        <c:ser>
          <c:idx val="5"/>
          <c:order val="3"/>
          <c:tx>
            <c:v>Sill 2B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data'!$Q$31:$Q$34</c:f>
              <c:numCache>
                <c:formatCode>0</c:formatCode>
                <c:ptCount val="4"/>
                <c:pt idx="1">
                  <c:v>460190.114068441</c:v>
                </c:pt>
              </c:numCache>
            </c:numRef>
          </c:xVal>
          <c:yVal>
            <c:numRef>
              <c:f>'SPider data'!$R$31:$R$34</c:f>
              <c:numCache>
                <c:formatCode>0</c:formatCode>
                <c:ptCount val="4"/>
                <c:pt idx="1">
                  <c:v>63043.47826086957</c:v>
                </c:pt>
              </c:numCache>
            </c:numRef>
          </c:yVal>
          <c:smooth val="0"/>
        </c:ser>
        <c:ser>
          <c:idx val="3"/>
          <c:order val="4"/>
          <c:tx>
            <c:v>Sill 3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EE257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data'!$Q$21:$Q$23</c:f>
              <c:numCache>
                <c:formatCode>0</c:formatCode>
                <c:ptCount val="3"/>
              </c:numCache>
            </c:numRef>
          </c:xVal>
          <c:yVal>
            <c:numRef>
              <c:f>'SPider data'!$R$21:$R$23</c:f>
              <c:numCache>
                <c:formatCode>0</c:formatCode>
                <c:ptCount val="3"/>
              </c:numCache>
            </c:numRef>
          </c:yVal>
          <c:smooth val="0"/>
        </c:ser>
        <c:ser>
          <c:idx val="4"/>
          <c:order val="5"/>
          <c:tx>
            <c:v>Sill 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99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'SPider data'!$Q$24:$Q$30</c:f>
              <c:numCache>
                <c:formatCode>0</c:formatCode>
                <c:ptCount val="7"/>
              </c:numCache>
            </c:numRef>
          </c:xVal>
          <c:yVal>
            <c:numRef>
              <c:f>'SPider data'!$R$24:$R$30</c:f>
              <c:numCache>
                <c:formatCode>0</c:formatCode>
                <c:ptCount val="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576280"/>
        <c:axId val="-2092570888"/>
      </c:scatterChart>
      <c:valAx>
        <c:axId val="-2092576280"/>
        <c:scaling>
          <c:logBase val="10.0"/>
          <c:orientation val="minMax"/>
          <c:max val="1.0E9"/>
          <c:min val="10.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570888"/>
        <c:crosses val="autoZero"/>
        <c:crossBetween val="midCat"/>
      </c:valAx>
      <c:valAx>
        <c:axId val="-2092570888"/>
        <c:scaling>
          <c:logBase val="10.0"/>
          <c:orientation val="minMax"/>
          <c:max val="1.0E7"/>
          <c:min val="10.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576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110344827586207"/>
          <c:y val="0.0452488687782805"/>
          <c:w val="0.104827586206897"/>
          <c:h val="0.2217194570135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4137931034483"/>
          <c:y val="0.02036199095022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10344827586207"/>
          <c:y val="0.115384615384615"/>
          <c:w val="0.726896551724138"/>
          <c:h val="0.81447963800905"/>
        </c:manualLayout>
      </c:layout>
      <c:lineChart>
        <c:grouping val="standard"/>
        <c:varyColors val="0"/>
        <c:ser>
          <c:idx val="0"/>
          <c:order val="0"/>
          <c:tx>
            <c:v>Reward 174.25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data'!$U$36:$AB$36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data'!$U$8:$AB$8</c:f>
              <c:numCache>
                <c:formatCode>General</c:formatCode>
                <c:ptCount val="8"/>
                <c:pt idx="0">
                  <c:v>0.128225806451613</c:v>
                </c:pt>
                <c:pt idx="1">
                  <c:v>0.003125</c:v>
                </c:pt>
                <c:pt idx="2">
                  <c:v>0.00879120879120879</c:v>
                </c:pt>
                <c:pt idx="3">
                  <c:v>0.010752688172043</c:v>
                </c:pt>
                <c:pt idx="4">
                  <c:v>0.0393939393939394</c:v>
                </c:pt>
                <c:pt idx="5">
                  <c:v>0.0642201834862385</c:v>
                </c:pt>
                <c:pt idx="6">
                  <c:v>2.75</c:v>
                </c:pt>
                <c:pt idx="7">
                  <c:v>4.13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2634712"/>
        <c:axId val="-2092643736"/>
      </c:lineChart>
      <c:catAx>
        <c:axId val="-209263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643736"/>
        <c:crossesAt val="0.001"/>
        <c:auto val="1"/>
        <c:lblAlgn val="ctr"/>
        <c:lblOffset val="100"/>
        <c:tickLblSkip val="1"/>
        <c:tickMarkSkip val="1"/>
        <c:noMultiLvlLbl val="0"/>
      </c:catAx>
      <c:valAx>
        <c:axId val="-2092643736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Sample/Primitive Mantle</a:t>
                </a:r>
              </a:p>
            </c:rich>
          </c:tx>
          <c:layout>
            <c:manualLayout>
              <c:xMode val="edge"/>
              <c:yMode val="edge"/>
              <c:x val="0.0124137931034483"/>
              <c:y val="0.357466063348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634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965517241379"/>
          <c:y val="0.506787330316742"/>
          <c:w val="0.166896551724138"/>
          <c:h val="0.03393665158371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965517241379"/>
          <c:y val="0.115384615384615"/>
          <c:w val="0.593103448275862"/>
          <c:h val="0.81447963800905"/>
        </c:manualLayout>
      </c:layout>
      <c:lineChart>
        <c:grouping val="standard"/>
        <c:varyColors val="0"/>
        <c:ser>
          <c:idx val="6"/>
          <c:order val="0"/>
          <c:tx>
            <c:v>Sill 2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data'!$AK$19:$AR$19</c:f>
              <c:numCache>
                <c:formatCode>0.00</c:formatCode>
                <c:ptCount val="8"/>
                <c:pt idx="0">
                  <c:v>10.9038536505844</c:v>
                </c:pt>
                <c:pt idx="1">
                  <c:v>0.30941475826972</c:v>
                </c:pt>
                <c:pt idx="2">
                  <c:v>0.379689962335006</c:v>
                </c:pt>
                <c:pt idx="3">
                  <c:v>0.563576881134133</c:v>
                </c:pt>
                <c:pt idx="4">
                  <c:v>1.819623451127936</c:v>
                </c:pt>
                <c:pt idx="5">
                  <c:v>6.521500356966335</c:v>
                </c:pt>
                <c:pt idx="6">
                  <c:v>4.782339591499896</c:v>
                </c:pt>
                <c:pt idx="7">
                  <c:v>585.9099120097897</c:v>
                </c:pt>
              </c:numCache>
            </c:numRef>
          </c:val>
          <c:smooth val="0"/>
        </c:ser>
        <c:ser>
          <c:idx val="1"/>
          <c:order val="1"/>
          <c:tx>
            <c:v>Ni Reward (ave)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data'!$AK$15:$AR$15</c:f>
              <c:numCache>
                <c:formatCode>0.00</c:formatCode>
                <c:ptCount val="8"/>
                <c:pt idx="0">
                  <c:v>10.37364326193449</c:v>
                </c:pt>
                <c:pt idx="1">
                  <c:v>0.27191091954023</c:v>
                </c:pt>
                <c:pt idx="2">
                  <c:v>0.340283738072399</c:v>
                </c:pt>
                <c:pt idx="3">
                  <c:v>0.506650246305419</c:v>
                </c:pt>
                <c:pt idx="4">
                  <c:v>0.807992134279093</c:v>
                </c:pt>
                <c:pt idx="5">
                  <c:v>1.18084842470851</c:v>
                </c:pt>
                <c:pt idx="6">
                  <c:v>2.194780987884436</c:v>
                </c:pt>
                <c:pt idx="7">
                  <c:v>300.0789681495131</c:v>
                </c:pt>
              </c:numCache>
            </c:numRef>
          </c:val>
          <c:smooth val="0"/>
        </c:ser>
        <c:ser>
          <c:idx val="5"/>
          <c:order val="2"/>
          <c:tx>
            <c:v>Victor (Sudbury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CCFF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data'!$AK$49:$AR$49</c:f>
              <c:numCache>
                <c:formatCode>0.00</c:formatCode>
                <c:ptCount val="8"/>
                <c:pt idx="0">
                  <c:v>4.280408542246982</c:v>
                </c:pt>
                <c:pt idx="1">
                  <c:v>0.275</c:v>
                </c:pt>
                <c:pt idx="2">
                  <c:v>0.294289897510981</c:v>
                </c:pt>
                <c:pt idx="3">
                  <c:v>2.064285714285714</c:v>
                </c:pt>
                <c:pt idx="4">
                  <c:v>1.224032586558045</c:v>
                </c:pt>
                <c:pt idx="5">
                  <c:v>1.192446043165468</c:v>
                </c:pt>
                <c:pt idx="6">
                  <c:v>0.716216216216216</c:v>
                </c:pt>
                <c:pt idx="7">
                  <c:v>129.0076335877863</c:v>
                </c:pt>
              </c:numCache>
            </c:numRef>
          </c:val>
          <c:smooth val="0"/>
        </c:ser>
        <c:ser>
          <c:idx val="4"/>
          <c:order val="3"/>
          <c:tx>
            <c:v>Platreef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CC99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data'!$AK$53:$AR$53</c:f>
              <c:numCache>
                <c:formatCode>0.00</c:formatCode>
                <c:ptCount val="8"/>
                <c:pt idx="0">
                  <c:v>7.223769730733518</c:v>
                </c:pt>
                <c:pt idx="1">
                  <c:v>0.770833333333333</c:v>
                </c:pt>
                <c:pt idx="2">
                  <c:v>3.421669106881406</c:v>
                </c:pt>
                <c:pt idx="3">
                  <c:v>10.39285714285714</c:v>
                </c:pt>
                <c:pt idx="4" formatCode="0">
                  <c:v>29.56313645621181</c:v>
                </c:pt>
                <c:pt idx="5" formatCode="0">
                  <c:v>58.43525179856115</c:v>
                </c:pt>
                <c:pt idx="6" formatCode="0">
                  <c:v>46.33108108108108</c:v>
                </c:pt>
                <c:pt idx="7" formatCode="0">
                  <c:v>466.412213740458</c:v>
                </c:pt>
              </c:numCache>
            </c:numRef>
          </c:val>
          <c:smooth val="0"/>
        </c:ser>
        <c:ser>
          <c:idx val="3"/>
          <c:order val="4"/>
          <c:tx>
            <c:v>Kharaelakh (mass)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data'!$AK$48:$AR$48</c:f>
              <c:numCache>
                <c:formatCode>0.00</c:formatCode>
                <c:ptCount val="8"/>
                <c:pt idx="0">
                  <c:v>3.565459610027855</c:v>
                </c:pt>
                <c:pt idx="1">
                  <c:v>0.0791666666666667</c:v>
                </c:pt>
                <c:pt idx="2">
                  <c:v>0.0790629575402635</c:v>
                </c:pt>
                <c:pt idx="3">
                  <c:v>3.314285714285714</c:v>
                </c:pt>
                <c:pt idx="4">
                  <c:v>1.834012219959267</c:v>
                </c:pt>
                <c:pt idx="5">
                  <c:v>14.56294964028777</c:v>
                </c:pt>
                <c:pt idx="6">
                  <c:v>0.844594594594595</c:v>
                </c:pt>
                <c:pt idx="7">
                  <c:v>367.9389312977099</c:v>
                </c:pt>
              </c:numCache>
            </c:numRef>
          </c:val>
          <c:smooth val="0"/>
        </c:ser>
        <c:ser>
          <c:idx val="2"/>
          <c:order val="5"/>
          <c:tx>
            <c:v>Kambalda (Lunnon)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58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data'!$AK$44:$AR$44</c:f>
              <c:numCache>
                <c:formatCode>0.00</c:formatCode>
                <c:ptCount val="8"/>
                <c:pt idx="0">
                  <c:v>11.80129990714949</c:v>
                </c:pt>
                <c:pt idx="1">
                  <c:v>0.395833333333333</c:v>
                </c:pt>
                <c:pt idx="2">
                  <c:v>0.988286969253294</c:v>
                </c:pt>
                <c:pt idx="3">
                  <c:v>1.75</c:v>
                </c:pt>
                <c:pt idx="4">
                  <c:v>1.581466395112016</c:v>
                </c:pt>
                <c:pt idx="5">
                  <c:v>3.388489208633093</c:v>
                </c:pt>
                <c:pt idx="6">
                  <c:v>30.08783783783784</c:v>
                </c:pt>
                <c:pt idx="7">
                  <c:v>76.33587786259542</c:v>
                </c:pt>
              </c:numCache>
            </c:numRef>
          </c:val>
          <c:smooth val="0"/>
        </c:ser>
        <c:ser>
          <c:idx val="0"/>
          <c:order val="6"/>
          <c:tx>
            <c:v>Voisey's Bay Mass sulphides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'SPider data'!$AK$56:$AR$56</c:f>
              <c:strCache>
                <c:ptCount val="8"/>
                <c:pt idx="0">
                  <c:v>Ni</c:v>
                </c:pt>
                <c:pt idx="1">
                  <c:v>Ir</c:v>
                </c:pt>
                <c:pt idx="2">
                  <c:v>Ru</c:v>
                </c:pt>
                <c:pt idx="3">
                  <c:v>Rh</c:v>
                </c:pt>
                <c:pt idx="4">
                  <c:v>Pt</c:v>
                </c:pt>
                <c:pt idx="5">
                  <c:v>Pd</c:v>
                </c:pt>
                <c:pt idx="6">
                  <c:v>Au</c:v>
                </c:pt>
                <c:pt idx="7">
                  <c:v>Cu</c:v>
                </c:pt>
              </c:strCache>
            </c:strRef>
          </c:cat>
          <c:val>
            <c:numRef>
              <c:f>'SPider data'!$AK$57:$AR$57</c:f>
              <c:numCache>
                <c:formatCode>0.00</c:formatCode>
                <c:ptCount val="8"/>
                <c:pt idx="0">
                  <c:v>3.444753946146704</c:v>
                </c:pt>
                <c:pt idx="1">
                  <c:v>0.00625</c:v>
                </c:pt>
                <c:pt idx="2">
                  <c:v>0.0292825768667643</c:v>
                </c:pt>
                <c:pt idx="3">
                  <c:v>0.0785714285714286</c:v>
                </c:pt>
                <c:pt idx="4">
                  <c:v>0.0957230142566191</c:v>
                </c:pt>
                <c:pt idx="5">
                  <c:v>0.323741007194245</c:v>
                </c:pt>
                <c:pt idx="6">
                  <c:v>0.486486486486486</c:v>
                </c:pt>
                <c:pt idx="7">
                  <c:v>142.7480916030534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2788760"/>
        <c:axId val="-2092783816"/>
      </c:lineChart>
      <c:catAx>
        <c:axId val="-209278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783816"/>
        <c:crossesAt val="0.001"/>
        <c:auto val="1"/>
        <c:lblAlgn val="ctr"/>
        <c:lblOffset val="100"/>
        <c:tickLblSkip val="1"/>
        <c:tickMarkSkip val="1"/>
        <c:noMultiLvlLbl val="0"/>
      </c:catAx>
      <c:valAx>
        <c:axId val="-2092783816"/>
        <c:scaling>
          <c:logBase val="10.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100% sulphides/CI chondrites</a:t>
                </a:r>
              </a:p>
            </c:rich>
          </c:tx>
          <c:layout>
            <c:manualLayout>
              <c:xMode val="edge"/>
              <c:yMode val="edge"/>
              <c:x val="0.0124138643581155"/>
              <c:y val="0.3212669683257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927887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6206877800496"/>
          <c:y val="0.357466063348416"/>
          <c:w val="0.282758624439901"/>
          <c:h val="0.1764705882352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103448275862"/>
          <c:y val="0.0452488687782805"/>
          <c:w val="0.697931034482759"/>
          <c:h val="0.8099547511312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Data!$H$6:$H$41</c:f>
              <c:numCache>
                <c:formatCode>General</c:formatCode>
                <c:ptCount val="36"/>
                <c:pt idx="0">
                  <c:v>0.26</c:v>
                </c:pt>
                <c:pt idx="1">
                  <c:v>0.2</c:v>
                </c:pt>
                <c:pt idx="2">
                  <c:v>0.17</c:v>
                </c:pt>
                <c:pt idx="3" formatCode="0.0">
                  <c:v>1.9</c:v>
                </c:pt>
                <c:pt idx="4">
                  <c:v>2.59</c:v>
                </c:pt>
                <c:pt idx="5" formatCode="0.0">
                  <c:v>100.6</c:v>
                </c:pt>
                <c:pt idx="6">
                  <c:v>610.0</c:v>
                </c:pt>
                <c:pt idx="7">
                  <c:v>961.0</c:v>
                </c:pt>
                <c:pt idx="8" formatCode="0.0">
                  <c:v>1022.0</c:v>
                </c:pt>
                <c:pt idx="9">
                  <c:v>730.0</c:v>
                </c:pt>
                <c:pt idx="10" formatCode="0.0">
                  <c:v>881.4</c:v>
                </c:pt>
                <c:pt idx="12">
                  <c:v>1.13</c:v>
                </c:pt>
                <c:pt idx="13">
                  <c:v>0.26</c:v>
                </c:pt>
                <c:pt idx="14">
                  <c:v>96.1</c:v>
                </c:pt>
                <c:pt idx="15">
                  <c:v>308.0</c:v>
                </c:pt>
                <c:pt idx="16">
                  <c:v>1.04</c:v>
                </c:pt>
                <c:pt idx="17">
                  <c:v>0.48</c:v>
                </c:pt>
                <c:pt idx="18">
                  <c:v>0.92</c:v>
                </c:pt>
                <c:pt idx="19">
                  <c:v>0.62</c:v>
                </c:pt>
                <c:pt idx="20">
                  <c:v>0.39</c:v>
                </c:pt>
                <c:pt idx="21">
                  <c:v>0.17</c:v>
                </c:pt>
                <c:pt idx="22" formatCode="0.0">
                  <c:v>0.7</c:v>
                </c:pt>
                <c:pt idx="23">
                  <c:v>0.17</c:v>
                </c:pt>
                <c:pt idx="24">
                  <c:v>0.17</c:v>
                </c:pt>
                <c:pt idx="25" formatCode="0.0">
                  <c:v>0.5</c:v>
                </c:pt>
                <c:pt idx="26">
                  <c:v>0.33</c:v>
                </c:pt>
                <c:pt idx="27">
                  <c:v>0.19</c:v>
                </c:pt>
                <c:pt idx="28" formatCode="0.0">
                  <c:v>56.2</c:v>
                </c:pt>
                <c:pt idx="29" formatCode="0.0">
                  <c:v>42.4</c:v>
                </c:pt>
                <c:pt idx="30">
                  <c:v>23.9</c:v>
                </c:pt>
                <c:pt idx="32">
                  <c:v>0.22</c:v>
                </c:pt>
                <c:pt idx="33">
                  <c:v>238.0</c:v>
                </c:pt>
                <c:pt idx="34">
                  <c:v>99.5</c:v>
                </c:pt>
                <c:pt idx="35">
                  <c:v>0.55</c:v>
                </c:pt>
              </c:numCache>
            </c:numRef>
          </c:xVal>
          <c:yVal>
            <c:numRef>
              <c:f>Data!$F$6:$F$41</c:f>
              <c:numCache>
                <c:formatCode>General</c:formatCode>
                <c:ptCount val="36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4">
                  <c:v>0.22</c:v>
                </c:pt>
                <c:pt idx="6">
                  <c:v>239.0</c:v>
                </c:pt>
                <c:pt idx="7">
                  <c:v>70.9</c:v>
                </c:pt>
                <c:pt idx="9">
                  <c:v>68.6</c:v>
                </c:pt>
                <c:pt idx="12">
                  <c:v>0.11</c:v>
                </c:pt>
                <c:pt idx="13">
                  <c:v>0.02</c:v>
                </c:pt>
                <c:pt idx="14">
                  <c:v>6.3</c:v>
                </c:pt>
                <c:pt idx="15">
                  <c:v>25.6</c:v>
                </c:pt>
                <c:pt idx="16">
                  <c:v>0.08</c:v>
                </c:pt>
                <c:pt idx="17">
                  <c:v>0.02</c:v>
                </c:pt>
                <c:pt idx="18">
                  <c:v>0.07</c:v>
                </c:pt>
                <c:pt idx="19">
                  <c:v>0.04</c:v>
                </c:pt>
                <c:pt idx="20">
                  <c:v>0.02</c:v>
                </c:pt>
                <c:pt idx="21">
                  <c:v>0.01</c:v>
                </c:pt>
                <c:pt idx="23">
                  <c:v>0.01</c:v>
                </c:pt>
                <c:pt idx="24">
                  <c:v>0.01</c:v>
                </c:pt>
                <c:pt idx="26">
                  <c:v>0.02</c:v>
                </c:pt>
                <c:pt idx="27">
                  <c:v>0.02</c:v>
                </c:pt>
                <c:pt idx="30">
                  <c:v>1.24</c:v>
                </c:pt>
                <c:pt idx="32">
                  <c:v>0.02</c:v>
                </c:pt>
                <c:pt idx="33">
                  <c:v>26.3</c:v>
                </c:pt>
                <c:pt idx="34">
                  <c:v>0.13</c:v>
                </c:pt>
                <c:pt idx="3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840408"/>
        <c:axId val="-2092831816"/>
      </c:scatterChart>
      <c:valAx>
        <c:axId val="-2092840408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Pt (ppb)</a:t>
                </a:r>
              </a:p>
            </c:rich>
          </c:tx>
          <c:layout>
            <c:manualLayout>
              <c:xMode val="edge"/>
              <c:yMode val="edge"/>
              <c:x val="0.456551746639405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831816"/>
        <c:crossesAt val="0.01"/>
        <c:crossBetween val="midCat"/>
      </c:valAx>
      <c:valAx>
        <c:axId val="-2092831816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Ir (ppb)</a:t>
                </a:r>
              </a:p>
            </c:rich>
          </c:tx>
          <c:layout>
            <c:manualLayout>
              <c:xMode val="edge"/>
              <c:yMode val="edge"/>
              <c:x val="0.0193103710793057"/>
              <c:y val="0.380090524398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840408"/>
        <c:crossesAt val="0.1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2758624439901"/>
          <c:y val="0.42307693681147"/>
          <c:w val="0.11310349327881"/>
          <c:h val="0.04977377827771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206896551724"/>
          <c:y val="0.0452488687782805"/>
          <c:w val="0.708965517241379"/>
          <c:h val="0.8076923076923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Data!$AI$6:$AI$41</c:f>
              <c:numCache>
                <c:formatCode>0.00</c:formatCode>
                <c:ptCount val="36"/>
                <c:pt idx="0">
                  <c:v>11.98530206419539</c:v>
                </c:pt>
                <c:pt idx="1">
                  <c:v>12.45377420056558</c:v>
                </c:pt>
                <c:pt idx="2">
                  <c:v>9.99231360491929</c:v>
                </c:pt>
                <c:pt idx="3">
                  <c:v>12.9996714489103</c:v>
                </c:pt>
                <c:pt idx="4">
                  <c:v>15.3532766849028</c:v>
                </c:pt>
                <c:pt idx="5">
                  <c:v>14.53611700346098</c:v>
                </c:pt>
                <c:pt idx="8">
                  <c:v>0.105801445953095</c:v>
                </c:pt>
                <c:pt idx="10">
                  <c:v>0.233100233100233</c:v>
                </c:pt>
                <c:pt idx="12">
                  <c:v>5.139889783806697</c:v>
                </c:pt>
                <c:pt idx="13">
                  <c:v>12.87415155224213</c:v>
                </c:pt>
                <c:pt idx="14">
                  <c:v>19.25899621212121</c:v>
                </c:pt>
                <c:pt idx="15">
                  <c:v>16.38132774972287</c:v>
                </c:pt>
                <c:pt idx="16">
                  <c:v>13.52960635130665</c:v>
                </c:pt>
                <c:pt idx="17">
                  <c:v>4.85086508863178</c:v>
                </c:pt>
                <c:pt idx="18">
                  <c:v>17.44731957637297</c:v>
                </c:pt>
                <c:pt idx="19">
                  <c:v>12.59251313954736</c:v>
                </c:pt>
                <c:pt idx="20">
                  <c:v>7.729166666666667</c:v>
                </c:pt>
                <c:pt idx="21">
                  <c:v>6.805098684210525</c:v>
                </c:pt>
                <c:pt idx="22">
                  <c:v>10.12256511271613</c:v>
                </c:pt>
                <c:pt idx="23">
                  <c:v>9.004248264428554</c:v>
                </c:pt>
                <c:pt idx="24">
                  <c:v>11.46817248459959</c:v>
                </c:pt>
                <c:pt idx="25">
                  <c:v>10.45751633986928</c:v>
                </c:pt>
                <c:pt idx="26">
                  <c:v>13.0338266384778</c:v>
                </c:pt>
                <c:pt idx="27">
                  <c:v>26.20149911816579</c:v>
                </c:pt>
                <c:pt idx="28">
                  <c:v>26.92480864475462</c:v>
                </c:pt>
                <c:pt idx="29">
                  <c:v>24.62562396006655</c:v>
                </c:pt>
                <c:pt idx="30">
                  <c:v>25.97246503496504</c:v>
                </c:pt>
                <c:pt idx="32">
                  <c:v>13.73823397579561</c:v>
                </c:pt>
                <c:pt idx="33">
                  <c:v>14.80842675865468</c:v>
                </c:pt>
                <c:pt idx="34">
                  <c:v>15.50228310502283</c:v>
                </c:pt>
                <c:pt idx="35">
                  <c:v>13.60893854748603</c:v>
                </c:pt>
              </c:numCache>
            </c:numRef>
          </c:xVal>
          <c:yVal>
            <c:numRef>
              <c:f>Data!$F$6:$F$41</c:f>
              <c:numCache>
                <c:formatCode>General</c:formatCode>
                <c:ptCount val="36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4">
                  <c:v>0.22</c:v>
                </c:pt>
                <c:pt idx="6">
                  <c:v>239.0</c:v>
                </c:pt>
                <c:pt idx="7">
                  <c:v>70.9</c:v>
                </c:pt>
                <c:pt idx="9">
                  <c:v>68.6</c:v>
                </c:pt>
                <c:pt idx="12">
                  <c:v>0.11</c:v>
                </c:pt>
                <c:pt idx="13">
                  <c:v>0.02</c:v>
                </c:pt>
                <c:pt idx="14">
                  <c:v>6.3</c:v>
                </c:pt>
                <c:pt idx="15">
                  <c:v>25.6</c:v>
                </c:pt>
                <c:pt idx="16">
                  <c:v>0.08</c:v>
                </c:pt>
                <c:pt idx="17">
                  <c:v>0.02</c:v>
                </c:pt>
                <c:pt idx="18">
                  <c:v>0.07</c:v>
                </c:pt>
                <c:pt idx="19">
                  <c:v>0.04</c:v>
                </c:pt>
                <c:pt idx="20">
                  <c:v>0.02</c:v>
                </c:pt>
                <c:pt idx="21">
                  <c:v>0.01</c:v>
                </c:pt>
                <c:pt idx="23">
                  <c:v>0.01</c:v>
                </c:pt>
                <c:pt idx="24">
                  <c:v>0.01</c:v>
                </c:pt>
                <c:pt idx="26">
                  <c:v>0.02</c:v>
                </c:pt>
                <c:pt idx="27">
                  <c:v>0.02</c:v>
                </c:pt>
                <c:pt idx="30">
                  <c:v>1.24</c:v>
                </c:pt>
                <c:pt idx="32">
                  <c:v>0.02</c:v>
                </c:pt>
                <c:pt idx="33">
                  <c:v>26.3</c:v>
                </c:pt>
                <c:pt idx="34">
                  <c:v>0.13</c:v>
                </c:pt>
                <c:pt idx="3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884424"/>
        <c:axId val="-2092924568"/>
      </c:scatterChart>
      <c:valAx>
        <c:axId val="-2092884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MgO (wt%)</a:t>
                </a:r>
              </a:p>
            </c:rich>
          </c:tx>
          <c:layout>
            <c:manualLayout>
              <c:xMode val="edge"/>
              <c:yMode val="edge"/>
              <c:x val="0.438620633401488"/>
              <c:y val="0.9253393325834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924568"/>
        <c:crossesAt val="0.01"/>
        <c:crossBetween val="midCat"/>
      </c:valAx>
      <c:valAx>
        <c:axId val="-2092924568"/>
        <c:scaling>
          <c:logBase val="10.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Ir (ppb)</a:t>
                </a:r>
              </a:p>
            </c:rich>
          </c:tx>
          <c:layout>
            <c:manualLayout>
              <c:xMode val="edge"/>
              <c:yMode val="edge"/>
              <c:x val="0.0124137556009919"/>
              <c:y val="0.3778279500776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884424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2758624439901"/>
          <c:y val="0.425339332583427"/>
          <c:w val="0.11310349327881"/>
          <c:h val="0.04977377827771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96551724137931"/>
          <c:y val="0.0452488687782805"/>
          <c:w val="0.76551724137931"/>
          <c:h val="0.8076923076923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Data!$AI$6:$AI$41</c:f>
              <c:numCache>
                <c:formatCode>0.00</c:formatCode>
                <c:ptCount val="36"/>
                <c:pt idx="0">
                  <c:v>11.98530206419539</c:v>
                </c:pt>
                <c:pt idx="1">
                  <c:v>12.45377420056558</c:v>
                </c:pt>
                <c:pt idx="2">
                  <c:v>9.99231360491929</c:v>
                </c:pt>
                <c:pt idx="3">
                  <c:v>12.9996714489103</c:v>
                </c:pt>
                <c:pt idx="4">
                  <c:v>15.3532766849028</c:v>
                </c:pt>
                <c:pt idx="5">
                  <c:v>14.53611700346098</c:v>
                </c:pt>
                <c:pt idx="8">
                  <c:v>0.105801445953095</c:v>
                </c:pt>
                <c:pt idx="10">
                  <c:v>0.233100233100233</c:v>
                </c:pt>
                <c:pt idx="12">
                  <c:v>5.139889783806697</c:v>
                </c:pt>
                <c:pt idx="13">
                  <c:v>12.87415155224213</c:v>
                </c:pt>
                <c:pt idx="14">
                  <c:v>19.25899621212121</c:v>
                </c:pt>
                <c:pt idx="15">
                  <c:v>16.38132774972287</c:v>
                </c:pt>
                <c:pt idx="16">
                  <c:v>13.52960635130665</c:v>
                </c:pt>
                <c:pt idx="17">
                  <c:v>4.85086508863178</c:v>
                </c:pt>
                <c:pt idx="18">
                  <c:v>17.44731957637297</c:v>
                </c:pt>
                <c:pt idx="19">
                  <c:v>12.59251313954736</c:v>
                </c:pt>
                <c:pt idx="20">
                  <c:v>7.729166666666667</c:v>
                </c:pt>
                <c:pt idx="21">
                  <c:v>6.805098684210525</c:v>
                </c:pt>
                <c:pt idx="22">
                  <c:v>10.12256511271613</c:v>
                </c:pt>
                <c:pt idx="23">
                  <c:v>9.004248264428554</c:v>
                </c:pt>
                <c:pt idx="24">
                  <c:v>11.46817248459959</c:v>
                </c:pt>
                <c:pt idx="25">
                  <c:v>10.45751633986928</c:v>
                </c:pt>
                <c:pt idx="26">
                  <c:v>13.0338266384778</c:v>
                </c:pt>
                <c:pt idx="27">
                  <c:v>26.20149911816579</c:v>
                </c:pt>
                <c:pt idx="28">
                  <c:v>26.92480864475462</c:v>
                </c:pt>
                <c:pt idx="29">
                  <c:v>24.62562396006655</c:v>
                </c:pt>
                <c:pt idx="30">
                  <c:v>25.97246503496504</c:v>
                </c:pt>
                <c:pt idx="32">
                  <c:v>13.73823397579561</c:v>
                </c:pt>
                <c:pt idx="33">
                  <c:v>14.80842675865468</c:v>
                </c:pt>
                <c:pt idx="34">
                  <c:v>15.50228310502283</c:v>
                </c:pt>
                <c:pt idx="35">
                  <c:v>13.60893854748603</c:v>
                </c:pt>
              </c:numCache>
            </c:numRef>
          </c:xVal>
          <c:yVal>
            <c:numRef>
              <c:f>Data!$AF$6:$AF$41</c:f>
              <c:numCache>
                <c:formatCode>0.00</c:formatCode>
                <c:ptCount val="36"/>
                <c:pt idx="0">
                  <c:v>48.20058359450987</c:v>
                </c:pt>
                <c:pt idx="1">
                  <c:v>47.79203828583858</c:v>
                </c:pt>
                <c:pt idx="2">
                  <c:v>50.25804326342374</c:v>
                </c:pt>
                <c:pt idx="3">
                  <c:v>47.80418355054211</c:v>
                </c:pt>
                <c:pt idx="4">
                  <c:v>44.96566173902921</c:v>
                </c:pt>
                <c:pt idx="5">
                  <c:v>46.32131293960031</c:v>
                </c:pt>
                <c:pt idx="8">
                  <c:v>3.826485628636924</c:v>
                </c:pt>
                <c:pt idx="10">
                  <c:v>3.130203130203129</c:v>
                </c:pt>
                <c:pt idx="12">
                  <c:v>59.54853751589656</c:v>
                </c:pt>
                <c:pt idx="13">
                  <c:v>47.24602203182374</c:v>
                </c:pt>
                <c:pt idx="14">
                  <c:v>42.47159090909091</c:v>
                </c:pt>
                <c:pt idx="15">
                  <c:v>37.75095455105308</c:v>
                </c:pt>
                <c:pt idx="16">
                  <c:v>48.35152718050502</c:v>
                </c:pt>
                <c:pt idx="17">
                  <c:v>53.96454728797368</c:v>
                </c:pt>
                <c:pt idx="18">
                  <c:v>45.20144120537176</c:v>
                </c:pt>
                <c:pt idx="19">
                  <c:v>45.94014802102328</c:v>
                </c:pt>
                <c:pt idx="20">
                  <c:v>47.63541666666666</c:v>
                </c:pt>
                <c:pt idx="21">
                  <c:v>46.84416118421052</c:v>
                </c:pt>
                <c:pt idx="22">
                  <c:v>36.14576493762311</c:v>
                </c:pt>
                <c:pt idx="23">
                  <c:v>49.51818464407832</c:v>
                </c:pt>
                <c:pt idx="24">
                  <c:v>48.74743326488706</c:v>
                </c:pt>
                <c:pt idx="25">
                  <c:v>49.49683577134557</c:v>
                </c:pt>
                <c:pt idx="26">
                  <c:v>46.6490486257928</c:v>
                </c:pt>
                <c:pt idx="27">
                  <c:v>37.84171075837742</c:v>
                </c:pt>
                <c:pt idx="28">
                  <c:v>44.36064835659612</c:v>
                </c:pt>
                <c:pt idx="29">
                  <c:v>46.6777592900721</c:v>
                </c:pt>
                <c:pt idx="30">
                  <c:v>44.07779720279721</c:v>
                </c:pt>
                <c:pt idx="32">
                  <c:v>44.36351411922904</c:v>
                </c:pt>
                <c:pt idx="33">
                  <c:v>40.10102254527536</c:v>
                </c:pt>
                <c:pt idx="34">
                  <c:v>45.79908675799086</c:v>
                </c:pt>
                <c:pt idx="35">
                  <c:v>46.78212290502792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943096"/>
        <c:axId val="-2092952328"/>
      </c:scatterChart>
      <c:valAx>
        <c:axId val="-2092943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MgO (wt%)</a:t>
                </a:r>
              </a:p>
            </c:rich>
          </c:tx>
          <c:layout>
            <c:manualLayout>
              <c:xMode val="edge"/>
              <c:yMode val="edge"/>
              <c:x val="0.409655172413793"/>
              <c:y val="0.9253393665158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952328"/>
        <c:crosses val="autoZero"/>
        <c:crossBetween val="midCat"/>
      </c:valAx>
      <c:valAx>
        <c:axId val="-2092952328"/>
        <c:scaling>
          <c:orientation val="minMax"/>
          <c:min val="3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SiO2 (wt%)</a:t>
                </a:r>
              </a:p>
            </c:rich>
          </c:tx>
          <c:layout>
            <c:manualLayout>
              <c:xMode val="edge"/>
              <c:yMode val="edge"/>
              <c:x val="0.0124137931034483"/>
              <c:y val="0.3461538461538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943096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2758620689655"/>
          <c:y val="0.425339366515837"/>
          <c:w val="0.113103448275862"/>
          <c:h val="0.0497737556561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41379310344827"/>
          <c:y val="0.0361990950226244"/>
          <c:w val="0.801379310344828"/>
          <c:h val="0.893665158371041"/>
        </c:manualLayout>
      </c:layout>
      <c:lineChart>
        <c:grouping val="standard"/>
        <c:varyColors val="0"/>
        <c:ser>
          <c:idx val="1"/>
          <c:order val="0"/>
          <c:tx>
            <c:v>23</c:v>
          </c:tx>
          <c:spPr>
            <a:ln w="25400">
              <a:solidFill>
                <a:srgbClr val="DD2D32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DD2D32"/>
              </a:solidFill>
              <a:ln>
                <a:solidFill>
                  <a:srgbClr val="DD2D32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Data!$CJ$29:$CX$29</c:f>
              <c:numCache>
                <c:formatCode>0.00</c:formatCode>
                <c:ptCount val="15"/>
                <c:pt idx="0">
                  <c:v>39.24856271763328</c:v>
                </c:pt>
                <c:pt idx="1">
                  <c:v>6.503709003987594</c:v>
                </c:pt>
                <c:pt idx="2">
                  <c:v>3.54468204784675</c:v>
                </c:pt>
                <c:pt idx="3">
                  <c:v>4.333332054120918</c:v>
                </c:pt>
                <c:pt idx="4">
                  <c:v>3.779671737674697</c:v>
                </c:pt>
                <c:pt idx="5">
                  <c:v>1.86592062998653</c:v>
                </c:pt>
                <c:pt idx="6">
                  <c:v>12.22046404439564</c:v>
                </c:pt>
                <c:pt idx="7">
                  <c:v>4.351370209473174</c:v>
                </c:pt>
                <c:pt idx="8">
                  <c:v>3.651237720246112</c:v>
                </c:pt>
                <c:pt idx="9">
                  <c:v>3.596666549318709</c:v>
                </c:pt>
                <c:pt idx="10">
                  <c:v>4.81075240167562</c:v>
                </c:pt>
                <c:pt idx="11">
                  <c:v>5.468421437583425</c:v>
                </c:pt>
                <c:pt idx="12">
                  <c:v>6.147792375261614</c:v>
                </c:pt>
                <c:pt idx="13">
                  <c:v>6.304502005848874</c:v>
                </c:pt>
                <c:pt idx="14">
                  <c:v>6.005510690443413</c:v>
                </c:pt>
              </c:numCache>
            </c:numRef>
          </c:val>
          <c:smooth val="0"/>
        </c:ser>
        <c:ser>
          <c:idx val="0"/>
          <c:order val="1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Data!#REF!</c:f>
              <c:strCache>
                <c:ptCount val="15"/>
                <c:pt idx="0">
                  <c:v>_x0002_Ba</c:v>
                </c:pt>
                <c:pt idx="1">
                  <c:v>_x0002_Th</c:v>
                </c:pt>
                <c:pt idx="2">
                  <c:v>_x0002_Nb</c:v>
                </c:pt>
                <c:pt idx="3">
                  <c:v>_x0002_La</c:v>
                </c:pt>
                <c:pt idx="4">
                  <c:v>_x0002_Ce</c:v>
                </c:pt>
                <c:pt idx="5">
                  <c:v>_x0002_Nd</c:v>
                </c:pt>
                <c:pt idx="6">
                  <c:v>_x0002_Sr</c:v>
                </c:pt>
                <c:pt idx="7">
                  <c:v>_x0002_Sm</c:v>
                </c:pt>
                <c:pt idx="8">
                  <c:v>_x0002_Zr</c:v>
                </c:pt>
                <c:pt idx="9">
                  <c:v>_x0002_Ti</c:v>
                </c:pt>
                <c:pt idx="10">
                  <c:v>_x0002_Eu</c:v>
                </c:pt>
                <c:pt idx="11">
                  <c:v>_x0002_Gd</c:v>
                </c:pt>
                <c:pt idx="12">
                  <c:v>_x0002_Dy</c:v>
                </c:pt>
                <c:pt idx="13">
                  <c:v>_x0002_Er</c:v>
                </c:pt>
                <c:pt idx="14">
                  <c:v>_x0002_Yb</c:v>
                </c:pt>
              </c:strCache>
            </c:strRef>
          </c:cat>
          <c:val>
            <c:numRef>
              <c:f>Data!$CJ$42:$CX$42</c:f>
              <c:numCache>
                <c:formatCode>General</c:formatCode>
                <c:ptCount val="15"/>
                <c:pt idx="0">
                  <c:v>102.4547147452175</c:v>
                </c:pt>
                <c:pt idx="1">
                  <c:v>12.81753979129335</c:v>
                </c:pt>
                <c:pt idx="2">
                  <c:v>4.96170891986891</c:v>
                </c:pt>
                <c:pt idx="3">
                  <c:v>7.379819297882612</c:v>
                </c:pt>
                <c:pt idx="4">
                  <c:v>6.350371049779037</c:v>
                </c:pt>
                <c:pt idx="5">
                  <c:v>2.611843575418994</c:v>
                </c:pt>
                <c:pt idx="6">
                  <c:v>8.30970494932764</c:v>
                </c:pt>
                <c:pt idx="7">
                  <c:v>5.903074001706249</c:v>
                </c:pt>
                <c:pt idx="8">
                  <c:v>5.426975259377493</c:v>
                </c:pt>
                <c:pt idx="9">
                  <c:v>5.056021971848568</c:v>
                </c:pt>
                <c:pt idx="10">
                  <c:v>5.122252049626351</c:v>
                </c:pt>
                <c:pt idx="11">
                  <c:v>5.888514623726585</c:v>
                </c:pt>
                <c:pt idx="12">
                  <c:v>5.961241980670722</c:v>
                </c:pt>
                <c:pt idx="13">
                  <c:v>5.765159052064998</c:v>
                </c:pt>
                <c:pt idx="14">
                  <c:v>5.353500804418601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737928"/>
        <c:axId val="-2077732840"/>
      </c:lineChart>
      <c:catAx>
        <c:axId val="-207773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7773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77732840"/>
        <c:scaling>
          <c:logBase val="10.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777379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6551724137931"/>
          <c:y val="0.450226244343891"/>
          <c:w val="0.0993103448275861"/>
          <c:h val="0.06561085972850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24137931034"/>
          <c:y val="0.149321266968326"/>
          <c:w val="0.681379310344827"/>
          <c:h val="0.714932126696833"/>
        </c:manualLayout>
      </c:layout>
      <c:scatterChart>
        <c:scatterStyle val="lineMarker"/>
        <c:varyColors val="0"/>
        <c:ser>
          <c:idx val="0"/>
          <c:order val="0"/>
          <c:tx>
            <c:v>MF93-Sill 4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Data!$DO$26:$DO$36</c:f>
              <c:numCache>
                <c:formatCode>0.0</c:formatCode>
                <c:ptCount val="11"/>
                <c:pt idx="0">
                  <c:v>1127.348643006263</c:v>
                </c:pt>
                <c:pt idx="1">
                  <c:v>335000.0</c:v>
                </c:pt>
                <c:pt idx="2">
                  <c:v>190000.0</c:v>
                </c:pt>
                <c:pt idx="3">
                  <c:v>443333.3333333333</c:v>
                </c:pt>
                <c:pt idx="4">
                  <c:v>555000.0</c:v>
                </c:pt>
                <c:pt idx="5">
                  <c:v>85000.0</c:v>
                </c:pt>
                <c:pt idx="6">
                  <c:v>106222.2222222222</c:v>
                </c:pt>
                <c:pt idx="7">
                  <c:v>12173.91304347826</c:v>
                </c:pt>
                <c:pt idx="8">
                  <c:v>4062.5</c:v>
                </c:pt>
                <c:pt idx="9">
                  <c:v>6876.55343827672</c:v>
                </c:pt>
                <c:pt idx="10">
                  <c:v>6835.579514824798</c:v>
                </c:pt>
              </c:numCache>
            </c:numRef>
          </c:xVal>
          <c:yVal>
            <c:numRef>
              <c:f>Data!$C$26:$C$36</c:f>
              <c:numCache>
                <c:formatCode>General</c:formatCode>
                <c:ptCount val="11"/>
                <c:pt idx="0">
                  <c:v>323.3</c:v>
                </c:pt>
                <c:pt idx="1">
                  <c:v>330.55</c:v>
                </c:pt>
                <c:pt idx="2">
                  <c:v>335.2</c:v>
                </c:pt>
                <c:pt idx="3">
                  <c:v>345.4</c:v>
                </c:pt>
                <c:pt idx="4">
                  <c:v>356.0</c:v>
                </c:pt>
                <c:pt idx="5">
                  <c:v>356.3</c:v>
                </c:pt>
                <c:pt idx="6">
                  <c:v>365.2</c:v>
                </c:pt>
                <c:pt idx="7">
                  <c:v>368.86</c:v>
                </c:pt>
                <c:pt idx="8">
                  <c:v>376.5</c:v>
                </c:pt>
                <c:pt idx="9">
                  <c:v>380.1</c:v>
                </c:pt>
                <c:pt idx="10">
                  <c:v>381.3</c:v>
                </c:pt>
              </c:numCache>
            </c:numRef>
          </c:yVal>
          <c:smooth val="0"/>
        </c:ser>
        <c:ser>
          <c:idx val="1"/>
          <c:order val="1"/>
          <c:tx>
            <c:v>mantle</c:v>
          </c:tx>
          <c:spPr>
            <a:ln w="190500">
              <a:solidFill>
                <a:srgbClr val="0000FF">
                  <a:alpha val="35000"/>
                </a:srgbClr>
              </a:solidFill>
            </a:ln>
          </c:spPr>
          <c:xVal>
            <c:numRef>
              <c:f>Data!$DO$88:$DO$89</c:f>
              <c:numCache>
                <c:formatCode>0.0</c:formatCode>
                <c:ptCount val="2"/>
                <c:pt idx="0">
                  <c:v>7690.0</c:v>
                </c:pt>
                <c:pt idx="1">
                  <c:v>7690.0</c:v>
                </c:pt>
              </c:numCache>
            </c:numRef>
          </c:xVal>
          <c:yVal>
            <c:numRef>
              <c:f>Data!$C$88:$C$89</c:f>
              <c:numCache>
                <c:formatCode>General</c:formatCode>
                <c:ptCount val="2"/>
                <c:pt idx="0">
                  <c:v>300.0</c:v>
                </c:pt>
                <c:pt idx="1">
                  <c:v>400.0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3860536"/>
        <c:axId val="-2090197960"/>
      </c:scatterChart>
      <c:valAx>
        <c:axId val="-2093860536"/>
        <c:scaling>
          <c:logBase val="10.0"/>
          <c:orientation val="minMax"/>
          <c:min val="1000.0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Cu/Pd</a:t>
                </a:r>
              </a:p>
            </c:rich>
          </c:tx>
          <c:layout>
            <c:manualLayout>
              <c:xMode val="edge"/>
              <c:yMode val="edge"/>
              <c:x val="0.4"/>
              <c:y val="0.9276018099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0197960"/>
        <c:crosses val="max"/>
        <c:crossBetween val="midCat"/>
      </c:valAx>
      <c:valAx>
        <c:axId val="-2090197960"/>
        <c:scaling>
          <c:orientation val="maxMin"/>
          <c:max val="390.0"/>
          <c:min val="320.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193103448275862"/>
              <c:y val="0.407239819004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3860536"/>
        <c:crossesAt val="0.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7931034482759"/>
          <c:y val="0.776018099547511"/>
          <c:w val="0.154762964974206"/>
          <c:h val="0.0548774361349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3391257127"/>
          <c:y val="0.0678790038123063"/>
          <c:w val="0.670344827586207"/>
          <c:h val="0.809954751131222"/>
        </c:manualLayout>
      </c:layout>
      <c:scatterChart>
        <c:scatterStyle val="lineMarker"/>
        <c:varyColors val="0"/>
        <c:ser>
          <c:idx val="11"/>
          <c:order val="0"/>
          <c:tx>
            <c:v>MF-19 assay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Data!$DQ$68:$DQ$74</c:f>
              <c:numCache>
                <c:formatCode>0.000</c:formatCode>
                <c:ptCount val="7"/>
                <c:pt idx="0">
                  <c:v>2.403846153846154</c:v>
                </c:pt>
                <c:pt idx="1">
                  <c:v>2.644067796610169</c:v>
                </c:pt>
                <c:pt idx="3">
                  <c:v>1.947743467933492</c:v>
                </c:pt>
                <c:pt idx="4">
                  <c:v>2.506561679790026</c:v>
                </c:pt>
                <c:pt idx="5">
                  <c:v>5.375</c:v>
                </c:pt>
                <c:pt idx="6">
                  <c:v>3.408450704225352</c:v>
                </c:pt>
              </c:numCache>
            </c:numRef>
          </c:xVal>
          <c:yVal>
            <c:numRef>
              <c:f>Data!$DP$68:$DP$74</c:f>
              <c:numCache>
                <c:formatCode>0.0</c:formatCode>
                <c:ptCount val="7"/>
                <c:pt idx="0">
                  <c:v>12.84269662921348</c:v>
                </c:pt>
                <c:pt idx="1">
                  <c:v>23.89285714285714</c:v>
                </c:pt>
                <c:pt idx="3">
                  <c:v>45.82051282051281</c:v>
                </c:pt>
                <c:pt idx="4">
                  <c:v>22.40789473684211</c:v>
                </c:pt>
                <c:pt idx="5">
                  <c:v>28.75</c:v>
                </c:pt>
                <c:pt idx="6">
                  <c:v>21.79527559055118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Data!$DQ$57:$DQ$59</c:f>
              <c:numCache>
                <c:formatCode>0.00</c:formatCode>
                <c:ptCount val="3"/>
                <c:pt idx="0">
                  <c:v>1.526315789473684</c:v>
                </c:pt>
                <c:pt idx="1">
                  <c:v>1.925589321215564</c:v>
                </c:pt>
                <c:pt idx="2">
                  <c:v>4.285714285714285</c:v>
                </c:pt>
              </c:numCache>
            </c:numRef>
          </c:xVal>
          <c:yVal>
            <c:numRef>
              <c:f>Data!$DP$57:$DP$59</c:f>
              <c:numCache>
                <c:formatCode>0.0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Data!$DQ$38:$DQ$41</c:f>
              <c:numCache>
                <c:formatCode>0.00</c:formatCode>
                <c:ptCount val="4"/>
                <c:pt idx="0">
                  <c:v>3.010351966873706</c:v>
                </c:pt>
                <c:pt idx="1">
                  <c:v>1.67727009832273</c:v>
                </c:pt>
                <c:pt idx="2">
                  <c:v>0.368989118989119</c:v>
                </c:pt>
                <c:pt idx="3">
                  <c:v>3.224938875305623</c:v>
                </c:pt>
              </c:numCache>
            </c:numRef>
          </c:xVal>
          <c:yVal>
            <c:numRef>
              <c:f>Data!$DP$38:$DP$41</c:f>
              <c:numCache>
                <c:formatCode>0.0</c:formatCode>
                <c:ptCount val="4"/>
                <c:pt idx="0">
                  <c:v>10.5</c:v>
                </c:pt>
                <c:pt idx="1">
                  <c:v>12.24334600760456</c:v>
                </c:pt>
                <c:pt idx="3">
                  <c:v>15.25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Data!$DQ$6:$DQ$16</c:f>
              <c:numCache>
                <c:formatCode>0.00</c:formatCode>
                <c:ptCount val="11"/>
                <c:pt idx="0">
                  <c:v>2.887409200968523</c:v>
                </c:pt>
                <c:pt idx="1">
                  <c:v>4.537007874015749</c:v>
                </c:pt>
                <c:pt idx="2">
                  <c:v>1.157980456026058</c:v>
                </c:pt>
                <c:pt idx="3">
                  <c:v>4.505686789151356</c:v>
                </c:pt>
                <c:pt idx="4">
                  <c:v>3.069291338582677</c:v>
                </c:pt>
                <c:pt idx="5">
                  <c:v>1.011961210193031</c:v>
                </c:pt>
                <c:pt idx="6">
                  <c:v>0.27</c:v>
                </c:pt>
                <c:pt idx="7">
                  <c:v>0.291891891891892</c:v>
                </c:pt>
                <c:pt idx="8">
                  <c:v>5.930327868852459</c:v>
                </c:pt>
                <c:pt idx="9">
                  <c:v>0.291891891891892</c:v>
                </c:pt>
                <c:pt idx="10">
                  <c:v>2.624664879356568</c:v>
                </c:pt>
              </c:numCache>
            </c:numRef>
          </c:xVal>
          <c:yVal>
            <c:numRef>
              <c:f>Data!$DP$6:$DP$16</c:f>
              <c:numCache>
                <c:formatCode>0.0</c:formatCode>
                <c:ptCount val="11"/>
                <c:pt idx="4">
                  <c:v>18.54545454545455</c:v>
                </c:pt>
                <c:pt idx="6">
                  <c:v>2.435146443514644</c:v>
                </c:pt>
                <c:pt idx="7">
                  <c:v>8.363892806770097</c:v>
                </c:pt>
                <c:pt idx="9">
                  <c:v>10.6268221574344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Data!$DQ$46:$DQ$47</c:f>
              <c:numCache>
                <c:formatCode>0.00</c:formatCode>
                <c:ptCount val="2"/>
                <c:pt idx="0">
                  <c:v>1.551146611698016</c:v>
                </c:pt>
                <c:pt idx="1">
                  <c:v>1.268357810413885</c:v>
                </c:pt>
              </c:numCache>
            </c:numRef>
          </c:xVal>
          <c:yVal>
            <c:numRef>
              <c:f>Data!$DP$46:$DP$47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ser>
          <c:idx val="3"/>
          <c:order val="5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Data!$DQ$18:$DQ$19</c:f>
              <c:numCache>
                <c:formatCode>0.00</c:formatCode>
                <c:ptCount val="2"/>
                <c:pt idx="0">
                  <c:v>10.85714285714286</c:v>
                </c:pt>
                <c:pt idx="1">
                  <c:v>4.085626911314984</c:v>
                </c:pt>
              </c:numCache>
            </c:numRef>
          </c:xVal>
          <c:yVal>
            <c:numRef>
              <c:f>Data!$DP$18:$DP$19</c:f>
              <c:numCache>
                <c:formatCode>0.0</c:formatCode>
                <c:ptCount val="2"/>
                <c:pt idx="0">
                  <c:v>9.818181818181818</c:v>
                </c:pt>
                <c:pt idx="1">
                  <c:v>13.5</c:v>
                </c:pt>
              </c:numCache>
            </c:numRef>
          </c:yVal>
          <c:smooth val="0"/>
        </c:ser>
        <c:ser>
          <c:idx val="9"/>
          <c:order val="6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Data!$DQ$20:$DQ$22</c:f>
              <c:numCache>
                <c:formatCode>0.00</c:formatCode>
                <c:ptCount val="3"/>
                <c:pt idx="0">
                  <c:v>1.491142490372272</c:v>
                </c:pt>
                <c:pt idx="1">
                  <c:v>1.530007558578987</c:v>
                </c:pt>
                <c:pt idx="2">
                  <c:v>2.896159317211949</c:v>
                </c:pt>
              </c:numCache>
            </c:numRef>
          </c:xVal>
          <c:yVal>
            <c:numRef>
              <c:f>Data!$DP$20:$DP$22</c:f>
              <c:numCache>
                <c:formatCode>0.0</c:formatCode>
                <c:ptCount val="3"/>
                <c:pt idx="0">
                  <c:v>20.79365079365079</c:v>
                </c:pt>
                <c:pt idx="1">
                  <c:v>24.4140625</c:v>
                </c:pt>
                <c:pt idx="2">
                  <c:v>15.375</c:v>
                </c:pt>
              </c:numCache>
            </c:numRef>
          </c:yVal>
          <c:smooth val="0"/>
        </c:ser>
        <c:ser>
          <c:idx val="8"/>
          <c:order val="7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Data!$DQ$24:$DQ$25</c:f>
              <c:numCache>
                <c:formatCode>0.00</c:formatCode>
                <c:ptCount val="2"/>
                <c:pt idx="0">
                  <c:v>4.345139412207988</c:v>
                </c:pt>
                <c:pt idx="1">
                  <c:v>3.483537158984007</c:v>
                </c:pt>
              </c:numCache>
            </c:numRef>
          </c:xVal>
          <c:yVal>
            <c:numRef>
              <c:f>Data!$DP$24:$DP$25</c:f>
              <c:numCache>
                <c:formatCode>0.0</c:formatCode>
                <c:ptCount val="2"/>
                <c:pt idx="0">
                  <c:v>14.14285714285714</c:v>
                </c:pt>
                <c:pt idx="1">
                  <c:v>18.25</c:v>
                </c:pt>
              </c:numCache>
            </c:numRef>
          </c:yVal>
          <c:smooth val="0"/>
        </c:ser>
        <c:ser>
          <c:idx val="10"/>
          <c:order val="8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Data!$DQ$26:$DQ$36</c:f>
              <c:numCache>
                <c:formatCode>0.00</c:formatCode>
                <c:ptCount val="11"/>
                <c:pt idx="1">
                  <c:v>0.616915422885572</c:v>
                </c:pt>
                <c:pt idx="2">
                  <c:v>0.131529500187899</c:v>
                </c:pt>
                <c:pt idx="3">
                  <c:v>1.449248120300752</c:v>
                </c:pt>
                <c:pt idx="4">
                  <c:v>1.903903903903904</c:v>
                </c:pt>
                <c:pt idx="5">
                  <c:v>1.607981220657277</c:v>
                </c:pt>
                <c:pt idx="6">
                  <c:v>6.543933054393305</c:v>
                </c:pt>
                <c:pt idx="8">
                  <c:v>8.106796116504854</c:v>
                </c:pt>
                <c:pt idx="9">
                  <c:v>3.46710050614606</c:v>
                </c:pt>
                <c:pt idx="10">
                  <c:v>4.061119873817035</c:v>
                </c:pt>
              </c:numCache>
            </c:numRef>
          </c:xVal>
          <c:yVal>
            <c:numRef>
              <c:f>Data!$DP$26:$DP$36</c:f>
              <c:numCache>
                <c:formatCode>0.0</c:formatCode>
                <c:ptCount val="11"/>
                <c:pt idx="1">
                  <c:v>12.0</c:v>
                </c:pt>
                <c:pt idx="2">
                  <c:v>0.0</c:v>
                </c:pt>
                <c:pt idx="3">
                  <c:v>12.0</c:v>
                </c:pt>
                <c:pt idx="4">
                  <c:v>12.0</c:v>
                </c:pt>
                <c:pt idx="5">
                  <c:v>0.0</c:v>
                </c:pt>
                <c:pt idx="6">
                  <c:v>22.5</c:v>
                </c:pt>
                <c:pt idx="8">
                  <c:v>0.0</c:v>
                </c:pt>
                <c:pt idx="9">
                  <c:v>0.0</c:v>
                </c:pt>
                <c:pt idx="10">
                  <c:v>59.83870967741936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0956632"/>
        <c:axId val="-2140959480"/>
      </c:scatterChart>
      <c:valAx>
        <c:axId val="-2140956632"/>
        <c:scaling>
          <c:logBase val="10.0"/>
          <c:orientation val="minMax"/>
          <c:max val="1500.0"/>
          <c:min val="0.01"/>
        </c:scaling>
        <c:delete val="1"/>
        <c:axPos val="b"/>
        <c:numFmt formatCode="0" sourceLinked="0"/>
        <c:majorTickMark val="out"/>
        <c:minorTickMark val="none"/>
        <c:tickLblPos val="nextTo"/>
        <c:crossAx val="-2140959480"/>
        <c:crossesAt val="0.01"/>
        <c:crossBetween val="midCat"/>
        <c:majorUnit val="10.0"/>
      </c:valAx>
      <c:valAx>
        <c:axId val="-2140959480"/>
        <c:scaling>
          <c:logBase val="10.0"/>
          <c:orientation val="minMax"/>
          <c:max val="1.0E7"/>
          <c:min val="0.01"/>
        </c:scaling>
        <c:delete val="1"/>
        <c:axPos val="l"/>
        <c:numFmt formatCode="0" sourceLinked="0"/>
        <c:majorTickMark val="out"/>
        <c:minorTickMark val="none"/>
        <c:tickLblPos val="nextTo"/>
        <c:crossAx val="-2140956632"/>
        <c:crossesAt val="0.01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3391257127"/>
          <c:y val="0.0678790038123063"/>
          <c:w val="0.670344827586207"/>
          <c:h val="0.809954751131222"/>
        </c:manualLayout>
      </c:layout>
      <c:scatterChart>
        <c:scatterStyle val="lineMarker"/>
        <c:varyColors val="0"/>
        <c:ser>
          <c:idx val="11"/>
          <c:order val="0"/>
          <c:tx>
            <c:v>MF-19 assay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Data!$DQ$68:$DQ$74</c:f>
              <c:numCache>
                <c:formatCode>0.000</c:formatCode>
                <c:ptCount val="7"/>
                <c:pt idx="0">
                  <c:v>2.403846153846154</c:v>
                </c:pt>
                <c:pt idx="1">
                  <c:v>2.644067796610169</c:v>
                </c:pt>
                <c:pt idx="3">
                  <c:v>1.947743467933492</c:v>
                </c:pt>
                <c:pt idx="4">
                  <c:v>2.506561679790026</c:v>
                </c:pt>
                <c:pt idx="5">
                  <c:v>5.375</c:v>
                </c:pt>
                <c:pt idx="6">
                  <c:v>3.408450704225352</c:v>
                </c:pt>
              </c:numCache>
            </c:numRef>
          </c:xVal>
          <c:yVal>
            <c:numRef>
              <c:f>Data!$DP$68:$DP$74</c:f>
              <c:numCache>
                <c:formatCode>0.0</c:formatCode>
                <c:ptCount val="7"/>
                <c:pt idx="0">
                  <c:v>12.84269662921348</c:v>
                </c:pt>
                <c:pt idx="1">
                  <c:v>23.89285714285714</c:v>
                </c:pt>
                <c:pt idx="3">
                  <c:v>45.82051282051281</c:v>
                </c:pt>
                <c:pt idx="4">
                  <c:v>22.40789473684211</c:v>
                </c:pt>
                <c:pt idx="5">
                  <c:v>28.75</c:v>
                </c:pt>
                <c:pt idx="6">
                  <c:v>21.79527559055118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Data!$DQ$57:$DQ$59</c:f>
              <c:numCache>
                <c:formatCode>0.00</c:formatCode>
                <c:ptCount val="3"/>
                <c:pt idx="0">
                  <c:v>1.526315789473684</c:v>
                </c:pt>
                <c:pt idx="1">
                  <c:v>1.925589321215564</c:v>
                </c:pt>
                <c:pt idx="2">
                  <c:v>4.285714285714285</c:v>
                </c:pt>
              </c:numCache>
            </c:numRef>
          </c:xVal>
          <c:yVal>
            <c:numRef>
              <c:f>Data!$DP$57:$DP$59</c:f>
              <c:numCache>
                <c:formatCode>0.0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Data!$DQ$38:$DQ$41</c:f>
              <c:numCache>
                <c:formatCode>0.00</c:formatCode>
                <c:ptCount val="4"/>
                <c:pt idx="0">
                  <c:v>3.010351966873706</c:v>
                </c:pt>
                <c:pt idx="1">
                  <c:v>1.67727009832273</c:v>
                </c:pt>
                <c:pt idx="2">
                  <c:v>0.368989118989119</c:v>
                </c:pt>
                <c:pt idx="3">
                  <c:v>3.224938875305623</c:v>
                </c:pt>
              </c:numCache>
            </c:numRef>
          </c:xVal>
          <c:yVal>
            <c:numRef>
              <c:f>Data!$DP$38:$DP$41</c:f>
              <c:numCache>
                <c:formatCode>0.0</c:formatCode>
                <c:ptCount val="4"/>
                <c:pt idx="0">
                  <c:v>10.5</c:v>
                </c:pt>
                <c:pt idx="1">
                  <c:v>12.24334600760456</c:v>
                </c:pt>
                <c:pt idx="3">
                  <c:v>15.25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Data!$DQ$6:$DQ$16</c:f>
              <c:numCache>
                <c:formatCode>0.00</c:formatCode>
                <c:ptCount val="11"/>
                <c:pt idx="0">
                  <c:v>2.887409200968523</c:v>
                </c:pt>
                <c:pt idx="1">
                  <c:v>4.537007874015749</c:v>
                </c:pt>
                <c:pt idx="2">
                  <c:v>1.157980456026058</c:v>
                </c:pt>
                <c:pt idx="3">
                  <c:v>4.505686789151356</c:v>
                </c:pt>
                <c:pt idx="4">
                  <c:v>3.069291338582677</c:v>
                </c:pt>
                <c:pt idx="5">
                  <c:v>1.011961210193031</c:v>
                </c:pt>
                <c:pt idx="6">
                  <c:v>0.27</c:v>
                </c:pt>
                <c:pt idx="7">
                  <c:v>0.291891891891892</c:v>
                </c:pt>
                <c:pt idx="8">
                  <c:v>5.930327868852459</c:v>
                </c:pt>
                <c:pt idx="9">
                  <c:v>0.291891891891892</c:v>
                </c:pt>
                <c:pt idx="10">
                  <c:v>2.624664879356568</c:v>
                </c:pt>
              </c:numCache>
            </c:numRef>
          </c:xVal>
          <c:yVal>
            <c:numRef>
              <c:f>Data!$DP$6:$DP$16</c:f>
              <c:numCache>
                <c:formatCode>0.0</c:formatCode>
                <c:ptCount val="11"/>
                <c:pt idx="4">
                  <c:v>18.54545454545455</c:v>
                </c:pt>
                <c:pt idx="6">
                  <c:v>2.435146443514644</c:v>
                </c:pt>
                <c:pt idx="7">
                  <c:v>8.363892806770097</c:v>
                </c:pt>
                <c:pt idx="9">
                  <c:v>10.6268221574344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Data!$DQ$46:$DQ$47</c:f>
              <c:numCache>
                <c:formatCode>0.00</c:formatCode>
                <c:ptCount val="2"/>
                <c:pt idx="0">
                  <c:v>1.551146611698016</c:v>
                </c:pt>
                <c:pt idx="1">
                  <c:v>1.268357810413885</c:v>
                </c:pt>
              </c:numCache>
            </c:numRef>
          </c:xVal>
          <c:yVal>
            <c:numRef>
              <c:f>Data!$DP$46:$DP$47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ser>
          <c:idx val="3"/>
          <c:order val="5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Data!$DQ$18:$DQ$19</c:f>
              <c:numCache>
                <c:formatCode>0.00</c:formatCode>
                <c:ptCount val="2"/>
                <c:pt idx="0">
                  <c:v>10.85714285714286</c:v>
                </c:pt>
                <c:pt idx="1">
                  <c:v>4.085626911314984</c:v>
                </c:pt>
              </c:numCache>
            </c:numRef>
          </c:xVal>
          <c:yVal>
            <c:numRef>
              <c:f>Data!$DP$18:$DP$19</c:f>
              <c:numCache>
                <c:formatCode>0.0</c:formatCode>
                <c:ptCount val="2"/>
                <c:pt idx="0">
                  <c:v>9.818181818181818</c:v>
                </c:pt>
                <c:pt idx="1">
                  <c:v>13.5</c:v>
                </c:pt>
              </c:numCache>
            </c:numRef>
          </c:yVal>
          <c:smooth val="0"/>
        </c:ser>
        <c:ser>
          <c:idx val="9"/>
          <c:order val="6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Data!$DQ$20:$DQ$22</c:f>
              <c:numCache>
                <c:formatCode>0.00</c:formatCode>
                <c:ptCount val="3"/>
                <c:pt idx="0">
                  <c:v>1.491142490372272</c:v>
                </c:pt>
                <c:pt idx="1">
                  <c:v>1.530007558578987</c:v>
                </c:pt>
                <c:pt idx="2">
                  <c:v>2.896159317211949</c:v>
                </c:pt>
              </c:numCache>
            </c:numRef>
          </c:xVal>
          <c:yVal>
            <c:numRef>
              <c:f>Data!$DP$20:$DP$22</c:f>
              <c:numCache>
                <c:formatCode>0.0</c:formatCode>
                <c:ptCount val="3"/>
                <c:pt idx="0">
                  <c:v>20.79365079365079</c:v>
                </c:pt>
                <c:pt idx="1">
                  <c:v>24.4140625</c:v>
                </c:pt>
                <c:pt idx="2">
                  <c:v>15.375</c:v>
                </c:pt>
              </c:numCache>
            </c:numRef>
          </c:yVal>
          <c:smooth val="0"/>
        </c:ser>
        <c:ser>
          <c:idx val="8"/>
          <c:order val="7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Data!$DQ$24:$DQ$25</c:f>
              <c:numCache>
                <c:formatCode>0.00</c:formatCode>
                <c:ptCount val="2"/>
                <c:pt idx="0">
                  <c:v>4.345139412207988</c:v>
                </c:pt>
                <c:pt idx="1">
                  <c:v>3.483537158984007</c:v>
                </c:pt>
              </c:numCache>
            </c:numRef>
          </c:xVal>
          <c:yVal>
            <c:numRef>
              <c:f>Data!$DP$24:$DP$25</c:f>
              <c:numCache>
                <c:formatCode>0.0</c:formatCode>
                <c:ptCount val="2"/>
                <c:pt idx="0">
                  <c:v>14.14285714285714</c:v>
                </c:pt>
                <c:pt idx="1">
                  <c:v>18.25</c:v>
                </c:pt>
              </c:numCache>
            </c:numRef>
          </c:yVal>
          <c:smooth val="0"/>
        </c:ser>
        <c:ser>
          <c:idx val="10"/>
          <c:order val="8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Data!$DQ$26:$DQ$36</c:f>
              <c:numCache>
                <c:formatCode>0.00</c:formatCode>
                <c:ptCount val="11"/>
                <c:pt idx="1">
                  <c:v>0.616915422885572</c:v>
                </c:pt>
                <c:pt idx="2">
                  <c:v>0.131529500187899</c:v>
                </c:pt>
                <c:pt idx="3">
                  <c:v>1.449248120300752</c:v>
                </c:pt>
                <c:pt idx="4">
                  <c:v>1.903903903903904</c:v>
                </c:pt>
                <c:pt idx="5">
                  <c:v>1.607981220657277</c:v>
                </c:pt>
                <c:pt idx="6">
                  <c:v>6.543933054393305</c:v>
                </c:pt>
                <c:pt idx="8">
                  <c:v>8.106796116504854</c:v>
                </c:pt>
                <c:pt idx="9">
                  <c:v>3.46710050614606</c:v>
                </c:pt>
                <c:pt idx="10">
                  <c:v>4.061119873817035</c:v>
                </c:pt>
              </c:numCache>
            </c:numRef>
          </c:xVal>
          <c:yVal>
            <c:numRef>
              <c:f>Data!$DP$26:$DP$36</c:f>
              <c:numCache>
                <c:formatCode>0.0</c:formatCode>
                <c:ptCount val="11"/>
                <c:pt idx="1">
                  <c:v>12.0</c:v>
                </c:pt>
                <c:pt idx="2">
                  <c:v>0.0</c:v>
                </c:pt>
                <c:pt idx="3">
                  <c:v>12.0</c:v>
                </c:pt>
                <c:pt idx="4">
                  <c:v>12.0</c:v>
                </c:pt>
                <c:pt idx="5">
                  <c:v>0.0</c:v>
                </c:pt>
                <c:pt idx="6">
                  <c:v>22.5</c:v>
                </c:pt>
                <c:pt idx="8">
                  <c:v>0.0</c:v>
                </c:pt>
                <c:pt idx="9">
                  <c:v>0.0</c:v>
                </c:pt>
                <c:pt idx="10">
                  <c:v>59.83870967741936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079224"/>
        <c:axId val="-2095573176"/>
      </c:scatterChart>
      <c:valAx>
        <c:axId val="-2141079224"/>
        <c:scaling>
          <c:logBase val="10.0"/>
          <c:orientation val="minMax"/>
          <c:max val="1500.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Ni/Cu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573176"/>
        <c:crossesAt val="0.01"/>
        <c:crossBetween val="midCat"/>
        <c:majorUnit val="10.0"/>
      </c:valAx>
      <c:valAx>
        <c:axId val="-2095573176"/>
        <c:scaling>
          <c:logBase val="10.0"/>
          <c:orientation val="minMax"/>
          <c:max val="1.0E7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Pd/Ir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1079224"/>
        <c:crossesAt val="0.01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26206896551724"/>
          <c:y val="0.117647058823529"/>
          <c:w val="0.152013575889221"/>
          <c:h val="0.603651797484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3391257127"/>
          <c:y val="0.0678790038123063"/>
          <c:w val="0.670344827586207"/>
          <c:h val="0.809954751131222"/>
        </c:manualLayout>
      </c:layout>
      <c:scatterChart>
        <c:scatterStyle val="lineMarker"/>
        <c:varyColors val="0"/>
        <c:ser>
          <c:idx val="11"/>
          <c:order val="0"/>
          <c:tx>
            <c:v>MF-19 assay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Data!$DQ$68:$DQ$74</c:f>
              <c:numCache>
                <c:formatCode>0.000</c:formatCode>
                <c:ptCount val="7"/>
                <c:pt idx="0">
                  <c:v>2.403846153846154</c:v>
                </c:pt>
                <c:pt idx="1">
                  <c:v>2.644067796610169</c:v>
                </c:pt>
                <c:pt idx="3">
                  <c:v>1.947743467933492</c:v>
                </c:pt>
                <c:pt idx="4">
                  <c:v>2.506561679790026</c:v>
                </c:pt>
                <c:pt idx="5">
                  <c:v>5.375</c:v>
                </c:pt>
                <c:pt idx="6">
                  <c:v>3.408450704225352</c:v>
                </c:pt>
              </c:numCache>
            </c:numRef>
          </c:xVal>
          <c:yVal>
            <c:numRef>
              <c:f>Data!$DP$68:$DP$74</c:f>
              <c:numCache>
                <c:formatCode>0.0</c:formatCode>
                <c:ptCount val="7"/>
                <c:pt idx="0">
                  <c:v>12.84269662921348</c:v>
                </c:pt>
                <c:pt idx="1">
                  <c:v>23.89285714285714</c:v>
                </c:pt>
                <c:pt idx="3">
                  <c:v>45.82051282051281</c:v>
                </c:pt>
                <c:pt idx="4">
                  <c:v>22.40789473684211</c:v>
                </c:pt>
                <c:pt idx="5">
                  <c:v>28.75</c:v>
                </c:pt>
                <c:pt idx="6">
                  <c:v>21.79527559055118</c:v>
                </c:pt>
              </c:numCache>
            </c:numRef>
          </c:yVal>
          <c:smooth val="0"/>
        </c:ser>
        <c:ser>
          <c:idx val="5"/>
          <c:order val="1"/>
          <c:tx>
            <c:v>MF83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EA74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Data!$DQ$57:$DQ$59</c:f>
              <c:numCache>
                <c:formatCode>0.00</c:formatCode>
                <c:ptCount val="3"/>
                <c:pt idx="0">
                  <c:v>1.526315789473684</c:v>
                </c:pt>
                <c:pt idx="1">
                  <c:v>1.925589321215564</c:v>
                </c:pt>
                <c:pt idx="2">
                  <c:v>4.285714285714285</c:v>
                </c:pt>
              </c:numCache>
            </c:numRef>
          </c:xVal>
          <c:yVal>
            <c:numRef>
              <c:f>Data!$DP$57:$DP$59</c:f>
              <c:numCache>
                <c:formatCode>0.0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4"/>
          <c:order val="2"/>
          <c:tx>
            <c:v>MF95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99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Data!$DQ$38:$DQ$41</c:f>
              <c:numCache>
                <c:formatCode>0.00</c:formatCode>
                <c:ptCount val="4"/>
                <c:pt idx="0">
                  <c:v>3.010351966873706</c:v>
                </c:pt>
                <c:pt idx="1">
                  <c:v>1.67727009832273</c:v>
                </c:pt>
                <c:pt idx="2">
                  <c:v>0.368989118989119</c:v>
                </c:pt>
                <c:pt idx="3">
                  <c:v>3.224938875305623</c:v>
                </c:pt>
              </c:numCache>
            </c:numRef>
          </c:xVal>
          <c:yVal>
            <c:numRef>
              <c:f>Data!$DP$38:$DP$41</c:f>
              <c:numCache>
                <c:formatCode>0.0</c:formatCode>
                <c:ptCount val="4"/>
                <c:pt idx="0">
                  <c:v>10.5</c:v>
                </c:pt>
                <c:pt idx="1">
                  <c:v>12.24334600760456</c:v>
                </c:pt>
                <c:pt idx="3">
                  <c:v>15.25</c:v>
                </c:pt>
              </c:numCache>
            </c:numRef>
          </c:yVal>
          <c:smooth val="0"/>
        </c:ser>
        <c:ser>
          <c:idx val="0"/>
          <c:order val="3"/>
          <c:tx>
            <c:v>MF81A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Data!$DQ$6:$DQ$16</c:f>
              <c:numCache>
                <c:formatCode>0.00</c:formatCode>
                <c:ptCount val="11"/>
                <c:pt idx="0">
                  <c:v>2.887409200968523</c:v>
                </c:pt>
                <c:pt idx="1">
                  <c:v>4.537007874015749</c:v>
                </c:pt>
                <c:pt idx="2">
                  <c:v>1.157980456026058</c:v>
                </c:pt>
                <c:pt idx="3">
                  <c:v>4.505686789151356</c:v>
                </c:pt>
                <c:pt idx="4">
                  <c:v>3.069291338582677</c:v>
                </c:pt>
                <c:pt idx="5">
                  <c:v>1.011961210193031</c:v>
                </c:pt>
                <c:pt idx="6">
                  <c:v>0.27</c:v>
                </c:pt>
                <c:pt idx="7">
                  <c:v>0.291891891891892</c:v>
                </c:pt>
                <c:pt idx="8">
                  <c:v>5.930327868852459</c:v>
                </c:pt>
                <c:pt idx="9">
                  <c:v>0.291891891891892</c:v>
                </c:pt>
                <c:pt idx="10">
                  <c:v>2.624664879356568</c:v>
                </c:pt>
              </c:numCache>
            </c:numRef>
          </c:xVal>
          <c:yVal>
            <c:numRef>
              <c:f>Data!$DP$6:$DP$16</c:f>
              <c:numCache>
                <c:formatCode>0.0</c:formatCode>
                <c:ptCount val="11"/>
                <c:pt idx="4">
                  <c:v>18.54545454545455</c:v>
                </c:pt>
                <c:pt idx="6">
                  <c:v>2.435146443514644</c:v>
                </c:pt>
                <c:pt idx="7">
                  <c:v>8.363892806770097</c:v>
                </c:pt>
                <c:pt idx="9">
                  <c:v>10.6268221574344</c:v>
                </c:pt>
              </c:numCache>
            </c:numRef>
          </c:yVal>
          <c:smooth val="0"/>
        </c:ser>
        <c:ser>
          <c:idx val="6"/>
          <c:order val="4"/>
          <c:tx>
            <c:v>MF23-Sill 1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Data!$DQ$46:$DQ$47</c:f>
              <c:numCache>
                <c:formatCode>0.00</c:formatCode>
                <c:ptCount val="2"/>
                <c:pt idx="0">
                  <c:v>1.551146611698016</c:v>
                </c:pt>
                <c:pt idx="1">
                  <c:v>1.268357810413885</c:v>
                </c:pt>
              </c:numCache>
            </c:numRef>
          </c:xVal>
          <c:yVal>
            <c:numRef>
              <c:f>Data!$DP$46:$DP$47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ser>
          <c:idx val="3"/>
          <c:order val="5"/>
          <c:tx>
            <c:v>MF93-Sill 1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Data!$DQ$18:$DQ$19</c:f>
              <c:numCache>
                <c:formatCode>0.00</c:formatCode>
                <c:ptCount val="2"/>
                <c:pt idx="0">
                  <c:v>10.85714285714286</c:v>
                </c:pt>
                <c:pt idx="1">
                  <c:v>4.085626911314984</c:v>
                </c:pt>
              </c:numCache>
            </c:numRef>
          </c:xVal>
          <c:yVal>
            <c:numRef>
              <c:f>Data!$DP$18:$DP$19</c:f>
              <c:numCache>
                <c:formatCode>0.0</c:formatCode>
                <c:ptCount val="2"/>
                <c:pt idx="0">
                  <c:v>9.818181818181818</c:v>
                </c:pt>
                <c:pt idx="1">
                  <c:v>13.5</c:v>
                </c:pt>
              </c:numCache>
            </c:numRef>
          </c:yVal>
          <c:smooth val="0"/>
        </c:ser>
        <c:ser>
          <c:idx val="9"/>
          <c:order val="6"/>
          <c:tx>
            <c:v>MF93 Sill 2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Data!$DQ$20:$DQ$22</c:f>
              <c:numCache>
                <c:formatCode>0.00</c:formatCode>
                <c:ptCount val="3"/>
                <c:pt idx="0">
                  <c:v>1.491142490372272</c:v>
                </c:pt>
                <c:pt idx="1">
                  <c:v>1.530007558578987</c:v>
                </c:pt>
                <c:pt idx="2">
                  <c:v>2.896159317211949</c:v>
                </c:pt>
              </c:numCache>
            </c:numRef>
          </c:xVal>
          <c:yVal>
            <c:numRef>
              <c:f>Data!$DP$20:$DP$22</c:f>
              <c:numCache>
                <c:formatCode>0.0</c:formatCode>
                <c:ptCount val="3"/>
                <c:pt idx="0">
                  <c:v>20.79365079365079</c:v>
                </c:pt>
                <c:pt idx="1">
                  <c:v>24.4140625</c:v>
                </c:pt>
                <c:pt idx="2">
                  <c:v>15.375</c:v>
                </c:pt>
              </c:numCache>
            </c:numRef>
          </c:yVal>
          <c:smooth val="0"/>
        </c:ser>
        <c:ser>
          <c:idx val="8"/>
          <c:order val="7"/>
          <c:tx>
            <c:v>MF93-Sill 3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Data!$DQ$24:$DQ$25</c:f>
              <c:numCache>
                <c:formatCode>0.00</c:formatCode>
                <c:ptCount val="2"/>
                <c:pt idx="0">
                  <c:v>4.345139412207988</c:v>
                </c:pt>
                <c:pt idx="1">
                  <c:v>3.483537158984007</c:v>
                </c:pt>
              </c:numCache>
            </c:numRef>
          </c:xVal>
          <c:yVal>
            <c:numRef>
              <c:f>Data!$DP$24:$DP$25</c:f>
              <c:numCache>
                <c:formatCode>0.0</c:formatCode>
                <c:ptCount val="2"/>
                <c:pt idx="0">
                  <c:v>14.14285714285714</c:v>
                </c:pt>
                <c:pt idx="1">
                  <c:v>18.25</c:v>
                </c:pt>
              </c:numCache>
            </c:numRef>
          </c:yVal>
          <c:smooth val="0"/>
        </c:ser>
        <c:ser>
          <c:idx val="10"/>
          <c:order val="8"/>
          <c:tx>
            <c:v>MF93-Sill4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Data!$DQ$26:$DQ$36</c:f>
              <c:numCache>
                <c:formatCode>0.00</c:formatCode>
                <c:ptCount val="11"/>
                <c:pt idx="1">
                  <c:v>0.616915422885572</c:v>
                </c:pt>
                <c:pt idx="2">
                  <c:v>0.131529500187899</c:v>
                </c:pt>
                <c:pt idx="3">
                  <c:v>1.449248120300752</c:v>
                </c:pt>
                <c:pt idx="4">
                  <c:v>1.903903903903904</c:v>
                </c:pt>
                <c:pt idx="5">
                  <c:v>1.607981220657277</c:v>
                </c:pt>
                <c:pt idx="6">
                  <c:v>6.543933054393305</c:v>
                </c:pt>
                <c:pt idx="8">
                  <c:v>8.106796116504854</c:v>
                </c:pt>
                <c:pt idx="9">
                  <c:v>3.46710050614606</c:v>
                </c:pt>
                <c:pt idx="10">
                  <c:v>4.061119873817035</c:v>
                </c:pt>
              </c:numCache>
            </c:numRef>
          </c:xVal>
          <c:yVal>
            <c:numRef>
              <c:f>Data!$DP$26:$DP$36</c:f>
              <c:numCache>
                <c:formatCode>0.0</c:formatCode>
                <c:ptCount val="11"/>
                <c:pt idx="1">
                  <c:v>12.0</c:v>
                </c:pt>
                <c:pt idx="2">
                  <c:v>0.0</c:v>
                </c:pt>
                <c:pt idx="3">
                  <c:v>12.0</c:v>
                </c:pt>
                <c:pt idx="4">
                  <c:v>12.0</c:v>
                </c:pt>
                <c:pt idx="5">
                  <c:v>0.0</c:v>
                </c:pt>
                <c:pt idx="6">
                  <c:v>22.5</c:v>
                </c:pt>
                <c:pt idx="8">
                  <c:v>0.0</c:v>
                </c:pt>
                <c:pt idx="9">
                  <c:v>0.0</c:v>
                </c:pt>
                <c:pt idx="10">
                  <c:v>59.83870967741936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192072"/>
        <c:axId val="-2141146840"/>
      </c:scatterChart>
      <c:valAx>
        <c:axId val="-2141192072"/>
        <c:scaling>
          <c:logBase val="10.0"/>
          <c:orientation val="minMax"/>
          <c:max val="1500.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Ni/Cu</a:t>
                </a:r>
              </a:p>
            </c:rich>
          </c:tx>
          <c:layout>
            <c:manualLayout>
              <c:xMode val="edge"/>
              <c:yMode val="edge"/>
              <c:x val="0.431724115398438"/>
              <c:y val="0.927601728355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1146840"/>
        <c:crossesAt val="0.01"/>
        <c:crossBetween val="midCat"/>
        <c:majorUnit val="10.0"/>
      </c:valAx>
      <c:valAx>
        <c:axId val="-2141146840"/>
        <c:scaling>
          <c:logBase val="10.0"/>
          <c:orientation val="minMax"/>
          <c:max val="1.0E7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Pd/Ir</a:t>
                </a:r>
              </a:p>
            </c:rich>
          </c:tx>
          <c:layout>
            <c:manualLayout>
              <c:xMode val="edge"/>
              <c:yMode val="edge"/>
              <c:x val="0.00827588460156173"/>
              <c:y val="0.368778366989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1192072"/>
        <c:crossesAt val="0.01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206896551724"/>
          <c:y val="0.117647058823529"/>
          <c:w val="0.152013575889221"/>
          <c:h val="0.603651797484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chart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chart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chart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chart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chart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chart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5" right="0.75" top="1" bottom="1" header="0.5" footer="0.5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5" right="0.75" top="1" bottom="1" header="0.5" footer="0.5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133" workbookViewId="0"/>
  </sheetViews>
  <pageMargins left="0.75" right="0.75" top="1" bottom="1" header="0.5" footer="0.5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3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4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41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4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4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4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4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4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49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51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52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drawing r:id="rId1"/>
</chartsheet>
</file>

<file path=xl/chartsheets/sheet53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54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drawing r:id="rId1"/>
</chartsheet>
</file>

<file path=xl/chartsheets/sheet55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0.2538</cdr:x>
      <cdr:y>0.33937</cdr:y>
    </cdr:from>
    <cdr:to>
      <cdr:x>0.35311</cdr:x>
      <cdr:y>0.50226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2336849" y="1905004"/>
          <a:ext cx="914366" cy="914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solidFill>
                <a:schemeClr val="accent4">
                  <a:lumMod val="75000"/>
                </a:schemeClr>
              </a:solidFill>
            </a:rPr>
            <a:t>Mantle Cu/Pd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0.2538</cdr:x>
      <cdr:y>0.33937</cdr:y>
    </cdr:from>
    <cdr:to>
      <cdr:x>0.35311</cdr:x>
      <cdr:y>0.50226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2336849" y="1905004"/>
          <a:ext cx="914366" cy="914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solidFill>
                <a:schemeClr val="accent4">
                  <a:lumMod val="75000"/>
                </a:schemeClr>
              </a:solidFill>
            </a:rPr>
            <a:t>Mantle Cu/Pd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0.65793</cdr:x>
      <cdr:y>0.72172</cdr:y>
    </cdr:from>
    <cdr:to>
      <cdr:x>0.75724</cdr:x>
      <cdr:y>0.88462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57929" y="4051296"/>
          <a:ext cx="914396" cy="914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i="1"/>
            <a:t>PGE-Depleted</a:t>
          </a:r>
        </a:p>
      </cdr:txBody>
    </cdr:sp>
  </cdr:relSizeAnchor>
  <cdr:relSizeAnchor xmlns:cdr="http://schemas.openxmlformats.org/drawingml/2006/chartDrawing">
    <cdr:from>
      <cdr:x>0.19034</cdr:x>
      <cdr:y>0.12443</cdr:y>
    </cdr:from>
    <cdr:to>
      <cdr:x>0.28966</cdr:x>
      <cdr:y>0.28733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52600" y="698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i="1"/>
            <a:t>PGE-Undepleted</a:t>
          </a:r>
        </a:p>
      </cdr:txBody>
    </cdr:sp>
  </cdr:relSizeAnchor>
  <cdr:relSizeAnchor xmlns:cdr="http://schemas.openxmlformats.org/drawingml/2006/chartDrawing">
    <cdr:from>
      <cdr:x>0.33241</cdr:x>
      <cdr:y>0.0905</cdr:y>
    </cdr:from>
    <cdr:to>
      <cdr:x>0.72275</cdr:x>
      <cdr:y>0.38688</cdr:y>
    </cdr:to>
    <cdr:cxnSp macro="">
      <cdr:nvCxnSpPr>
        <cdr:cNvPr id="5" name="Straight Arrow Connector 4"/>
        <cdr:cNvCxnSpPr/>
      </cdr:nvCxnSpPr>
      <cdr:spPr bwMode="auto">
        <a:xfrm xmlns:a="http://schemas.openxmlformats.org/drawingml/2006/main" flipH="1">
          <a:off x="3060706" y="507989"/>
          <a:ext cx="3594056" cy="16637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val="FF0000"/>
          </a:solidFill>
          <a:prstDash val="solid"/>
          <a:round/>
          <a:headEnd type="arrow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0.47034</cdr:x>
      <cdr:y>0.12443</cdr:y>
    </cdr:from>
    <cdr:to>
      <cdr:x>0.56965</cdr:x>
      <cdr:y>0.28733</cdr:y>
    </cdr:to>
    <cdr:sp macro="" textlink="">
      <cdr:nvSpPr>
        <cdr:cNvPr id="7" name="TextBox 6"/>
        <cdr:cNvSpPr txBox="1"/>
      </cdr:nvSpPr>
      <cdr:spPr>
        <a:xfrm xmlns:a="http://schemas.openxmlformats.org/drawingml/2006/main" rot="19950083">
          <a:off x="4330684" y="698475"/>
          <a:ext cx="914397" cy="914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</a:rPr>
            <a:t>Variable</a:t>
          </a:r>
          <a:r>
            <a:rPr lang="en-US" sz="1400" baseline="0">
              <a:solidFill>
                <a:srgbClr val="FF0000"/>
              </a:solidFill>
            </a:rPr>
            <a:t> R Factors</a:t>
          </a:r>
          <a:endParaRPr lang="en-US" sz="14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0.43724</cdr:x>
      <cdr:y>0.56787</cdr:y>
    </cdr:from>
    <cdr:to>
      <cdr:x>0.5269</cdr:x>
      <cdr:y>0.86877</cdr:y>
    </cdr:to>
    <cdr:cxnSp macro="">
      <cdr:nvCxnSpPr>
        <cdr:cNvPr id="9" name="Straight Arrow Connector 8"/>
        <cdr:cNvCxnSpPr/>
      </cdr:nvCxnSpPr>
      <cdr:spPr bwMode="auto">
        <a:xfrm xmlns:a="http://schemas.openxmlformats.org/drawingml/2006/main" flipH="1">
          <a:off x="4025868" y="3187705"/>
          <a:ext cx="825545" cy="168907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8575" cap="flat" cmpd="sng" algn="ctr">
          <a:solidFill>
            <a:srgbClr val="008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0.47586</cdr:x>
      <cdr:y>0.71267</cdr:y>
    </cdr:from>
    <cdr:to>
      <cdr:x>0.57517</cdr:x>
      <cdr:y>0.87557</cdr:y>
    </cdr:to>
    <cdr:sp macro="" textlink="">
      <cdr:nvSpPr>
        <cdr:cNvPr id="10" name="TextBox 9"/>
        <cdr:cNvSpPr txBox="1"/>
      </cdr:nvSpPr>
      <cdr:spPr>
        <a:xfrm xmlns:a="http://schemas.openxmlformats.org/drawingml/2006/main" rot="17825663">
          <a:off x="4381503" y="4000515"/>
          <a:ext cx="914423" cy="914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008000"/>
              </a:solidFill>
            </a:rPr>
            <a:t>Sulphide</a:t>
          </a:r>
          <a:r>
            <a:rPr lang="en-US" sz="1600" baseline="0">
              <a:solidFill>
                <a:srgbClr val="008000"/>
              </a:solidFill>
            </a:rPr>
            <a:t> Depletion</a:t>
          </a:r>
          <a:endParaRPr lang="en-US" sz="1600">
            <a:solidFill>
              <a:srgbClr val="008000"/>
            </a:solidFill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0.32828</cdr:x>
      <cdr:y>0.25792</cdr:y>
    </cdr:from>
    <cdr:to>
      <cdr:x>0.42759</cdr:x>
      <cdr:y>0.42081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3022600" y="1447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solidFill>
                <a:schemeClr val="tx1"/>
              </a:solidFill>
            </a:rPr>
            <a:t>Mantle</a:t>
          </a:r>
        </a:p>
      </cdr:txBody>
    </cdr:sp>
  </cdr:relSizeAnchor>
  <cdr:relSizeAnchor xmlns:cdr="http://schemas.openxmlformats.org/drawingml/2006/chartDrawing">
    <cdr:from>
      <cdr:x>0.48828</cdr:x>
      <cdr:y>0.62443</cdr:y>
    </cdr:from>
    <cdr:to>
      <cdr:x>0.58759</cdr:x>
      <cdr:y>0.78733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95800" y="3505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solidFill>
                <a:srgbClr val="FF0000"/>
              </a:solidFill>
            </a:rPr>
            <a:t>Crustal</a:t>
          </a:r>
          <a:r>
            <a:rPr lang="en-US" sz="1800" b="1" baseline="0">
              <a:solidFill>
                <a:srgbClr val="FF0000"/>
              </a:solidFill>
            </a:rPr>
            <a:t> contamination</a:t>
          </a:r>
          <a:endParaRPr lang="en-US" sz="18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0.49793</cdr:x>
      <cdr:y>0.59955</cdr:y>
    </cdr:from>
    <cdr:to>
      <cdr:x>0.74897</cdr:x>
      <cdr:y>0.59955</cdr:y>
    </cdr:to>
    <cdr:cxnSp macro="">
      <cdr:nvCxnSpPr>
        <cdr:cNvPr id="5" name="Straight Arrow Connector 4"/>
        <cdr:cNvCxnSpPr/>
      </cdr:nvCxnSpPr>
      <cdr:spPr bwMode="auto">
        <a:xfrm xmlns:a="http://schemas.openxmlformats.org/drawingml/2006/main">
          <a:off x="4584700" y="3365500"/>
          <a:ext cx="231140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0.3669</cdr:x>
      <cdr:y>0.27376</cdr:y>
    </cdr:from>
    <cdr:to>
      <cdr:x>0.46621</cdr:x>
      <cdr:y>0.43665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3378200" y="153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solidFill>
                <a:srgbClr val="0000FF"/>
              </a:solidFill>
            </a:rPr>
            <a:t>Mantle Cu/Pd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578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14662" cy="56242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0.13108</cdr:x>
      <cdr:y>0.08306</cdr:y>
    </cdr:from>
    <cdr:to>
      <cdr:x>0.76961</cdr:x>
      <cdr:y>0.86645</cdr:y>
    </cdr:to>
    <cdr:cxnSp macro="">
      <cdr:nvCxnSpPr>
        <cdr:cNvPr id="3" name="Straight Connector 2"/>
        <cdr:cNvCxnSpPr/>
      </cdr:nvCxnSpPr>
      <cdr:spPr bwMode="auto">
        <a:xfrm xmlns:a="http://schemas.openxmlformats.org/drawingml/2006/main" flipV="1">
          <a:off x="1206043" y="465970"/>
          <a:ext cx="5874892" cy="4394752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24" cy="56229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0.39025</cdr:x>
      <cdr:y>0.24676</cdr:y>
    </cdr:from>
    <cdr:to>
      <cdr:x>0.5755</cdr:x>
      <cdr:y>0.24676</cdr:y>
    </cdr:to>
    <cdr:sp macro="" textlink="">
      <cdr:nvSpPr>
        <cdr:cNvPr id="1639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93227" y="1385176"/>
          <a:ext cx="170568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0.3917</cdr:x>
      <cdr:y>0.17199</cdr:y>
    </cdr:from>
    <cdr:to>
      <cdr:x>0.56185</cdr:x>
      <cdr:y>0.21997</cdr:y>
    </cdr:to>
    <cdr:sp macro="" textlink="">
      <cdr:nvSpPr>
        <cdr:cNvPr id="1639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562" y="965435"/>
          <a:ext cx="1566656" cy="269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Crustal Sulphur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0.166</cdr:x>
      <cdr:y>0.1225</cdr:y>
    </cdr:from>
    <cdr:to>
      <cdr:x>0.1665</cdr:x>
      <cdr:y>0.41175</cdr:y>
    </cdr:to>
    <cdr:sp macro="" textlink="">
      <cdr:nvSpPr>
        <cdr:cNvPr id="133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528445" y="687642"/>
          <a:ext cx="4604" cy="16236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57150">
          <a:solidFill>
            <a:srgbClr xmlns:mc="http://schemas.openxmlformats.org/markup-compatibility/2006" xmlns:a14="http://schemas.microsoft.com/office/drawing/2010/main" val="4EE257" mc:Ignorable="a14" a14:legacySpreadsheetColorIndex="27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0.19075</cdr:x>
      <cdr:y>0.18275</cdr:y>
    </cdr:from>
    <cdr:to>
      <cdr:x>0.36214</cdr:x>
      <cdr:y>0.23248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3908" y="1023528"/>
          <a:ext cx="1575916" cy="278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36576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4EE257"/>
              </a:solidFill>
              <a:latin typeface="Arial"/>
              <a:ea typeface="Arial"/>
              <a:cs typeface="Arial"/>
            </a:rPr>
            <a:t>Crustal Sulphur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0.28898</cdr:x>
      <cdr:y>0.27199</cdr:y>
    </cdr:from>
    <cdr:to>
      <cdr:x>0.38836</cdr:x>
      <cdr:y>0.43498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2658777" y="152582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/>
            <a:t>Mantle</a:t>
          </a:r>
        </a:p>
      </cdr:txBody>
    </cdr:sp>
  </cdr:relSizeAnchor>
  <cdr:relSizeAnchor xmlns:cdr="http://schemas.openxmlformats.org/drawingml/2006/chartDrawing">
    <cdr:from>
      <cdr:x>0.39325</cdr:x>
      <cdr:y>0.65961</cdr:y>
    </cdr:from>
    <cdr:to>
      <cdr:x>0.714</cdr:x>
      <cdr:y>0.65961</cdr:y>
    </cdr:to>
    <cdr:cxnSp macro="">
      <cdr:nvCxnSpPr>
        <cdr:cNvPr id="4" name="Straight Arrow Connector 3"/>
        <cdr:cNvCxnSpPr/>
      </cdr:nvCxnSpPr>
      <cdr:spPr bwMode="auto">
        <a:xfrm xmlns:a="http://schemas.openxmlformats.org/drawingml/2006/main">
          <a:off x="3618129" y="3700360"/>
          <a:ext cx="2951152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85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0.56703</cdr:x>
      <cdr:y>0.59283</cdr:y>
    </cdr:from>
    <cdr:to>
      <cdr:x>0.66642</cdr:x>
      <cdr:y>0.75583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217050" y="332575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>
              <a:solidFill>
                <a:srgbClr val="FF0000"/>
              </a:solidFill>
            </a:rPr>
            <a:t>Crustal</a:t>
          </a:r>
          <a:r>
            <a:rPr lang="en-US" sz="1800" baseline="0">
              <a:solidFill>
                <a:srgbClr val="FF0000"/>
              </a:solidFill>
            </a:rPr>
            <a:t> Sulphur</a:t>
          </a:r>
          <a:endParaRPr lang="en-US" sz="1800">
            <a:solidFill>
              <a:srgbClr val="FF0000"/>
            </a:solidFill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614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9207500" cy="56134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absoluteAnchor>
    <xdr:pos x="0" y="0"/>
    <xdr:ext cx="9209924" cy="56229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09924" cy="56229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xdr:wsDr xmlns:xdr="http://schemas.openxmlformats.org/drawingml/2006/spreadsheetDrawing" xmlns:a="http://schemas.openxmlformats.org/drawingml/2006/main">
  <xdr:absoluteAnchor>
    <xdr:pos x="0" y="0"/>
    <xdr:ext cx="9209924" cy="56229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600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0.1585</cdr:x>
      <cdr:y>0.35175</cdr:y>
    </cdr:from>
    <cdr:to>
      <cdr:x>0.27575</cdr:x>
      <cdr:y>0.8325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59389" y="1974513"/>
          <a:ext cx="1079579" cy="26986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0.206</cdr:x>
      <cdr:y>0.27175</cdr:y>
    </cdr:from>
    <cdr:to>
      <cdr:x>0.44578</cdr:x>
      <cdr:y>0.36359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6745" y="1525441"/>
          <a:ext cx="2207784" cy="515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900"/>
            </a:lnSpc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4 samples have Ir &amp; Pt</a:t>
          </a:r>
        </a:p>
        <a:p xmlns:a="http://schemas.openxmlformats.org/drawingml/2006/main">
          <a:pPr algn="l" rtl="0">
            <a:lnSpc>
              <a:spcPts val="1800"/>
            </a:lnSpc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&lt;LoD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00647" cy="56099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0.1592</cdr:x>
      <cdr:y>0.14658</cdr:y>
    </cdr:from>
    <cdr:to>
      <cdr:x>0.25879</cdr:x>
      <cdr:y>0.30958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1869" y="8223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Primitive</a:t>
          </a:r>
          <a:r>
            <a:rPr lang="en-US" sz="1400" baseline="0"/>
            <a:t> Magma</a:t>
          </a:r>
          <a:endParaRPr lang="en-US" sz="1400"/>
        </a:p>
      </cdr:txBody>
    </cdr:sp>
  </cdr:relSizeAnchor>
  <cdr:relSizeAnchor xmlns:cdr="http://schemas.openxmlformats.org/drawingml/2006/chartDrawing">
    <cdr:from>
      <cdr:x>0.1602</cdr:x>
      <cdr:y>0.10749</cdr:y>
    </cdr:from>
    <cdr:to>
      <cdr:x>0.16617</cdr:x>
      <cdr:y>0.22313</cdr:y>
    </cdr:to>
    <cdr:cxnSp macro="">
      <cdr:nvCxnSpPr>
        <cdr:cNvPr id="4" name="Straight Arrow Connector 3"/>
        <cdr:cNvCxnSpPr/>
      </cdr:nvCxnSpPr>
      <cdr:spPr bwMode="auto">
        <a:xfrm xmlns:a="http://schemas.openxmlformats.org/drawingml/2006/main" flipH="1" flipV="1">
          <a:off x="1471007" y="603022"/>
          <a:ext cx="54820" cy="64870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0.65075</cdr:x>
      <cdr:y>0.79642</cdr:y>
    </cdr:from>
    <cdr:to>
      <cdr:x>0.77413</cdr:x>
      <cdr:y>0.82248</cdr:y>
    </cdr:to>
    <cdr:cxnSp macro="">
      <cdr:nvCxnSpPr>
        <cdr:cNvPr id="6" name="Straight Arrow Connector 5"/>
        <cdr:cNvCxnSpPr/>
      </cdr:nvCxnSpPr>
      <cdr:spPr bwMode="auto">
        <a:xfrm xmlns:a="http://schemas.openxmlformats.org/drawingml/2006/main">
          <a:off x="5975396" y="4467842"/>
          <a:ext cx="1132949" cy="146187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0.61095</cdr:x>
      <cdr:y>0.73127</cdr:y>
    </cdr:from>
    <cdr:to>
      <cdr:x>0.71053</cdr:x>
      <cdr:y>0.89427</cdr:y>
    </cdr:to>
    <cdr:sp macro="" textlink="">
      <cdr:nvSpPr>
        <cdr:cNvPr id="7" name="TextBox 6"/>
        <cdr:cNvSpPr txBox="1"/>
      </cdr:nvSpPr>
      <cdr:spPr>
        <a:xfrm xmlns:a="http://schemas.openxmlformats.org/drawingml/2006/main" rot="356137">
          <a:off x="5609929" y="4102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Crustal contaminant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11"/>
  <sheetViews>
    <sheetView workbookViewId="0">
      <pane ySplit="780" activePane="bottomLeft"/>
      <selection activeCell="AP1" sqref="AP1:AQ1048576"/>
      <selection pane="bottomLeft" activeCell="A3" sqref="A3"/>
    </sheetView>
  </sheetViews>
  <sheetFormatPr baseColWidth="10" defaultRowHeight="13" x14ac:dyDescent="0"/>
  <cols>
    <col min="1" max="1" width="12" customWidth="1"/>
    <col min="2" max="2" width="7.140625" customWidth="1"/>
    <col min="3" max="3" width="7" customWidth="1"/>
    <col min="4" max="4" width="8.5703125" customWidth="1"/>
    <col min="5" max="5" width="6.42578125" customWidth="1"/>
    <col min="6" max="6" width="6.28515625" customWidth="1"/>
    <col min="7" max="7" width="6.5703125" customWidth="1"/>
    <col min="8" max="8" width="7.7109375" customWidth="1"/>
    <col min="9" max="9" width="6" customWidth="1"/>
    <col min="10" max="10" width="5.85546875" customWidth="1"/>
    <col min="11" max="11" width="7.7109375" customWidth="1"/>
    <col min="12" max="13" width="6.140625" customWidth="1"/>
    <col min="14" max="14" width="9.140625" customWidth="1"/>
    <col min="15" max="15" width="7.42578125" style="3" customWidth="1"/>
    <col min="16" max="16" width="6.28515625" style="1" customWidth="1"/>
    <col min="17" max="17" width="6.140625" customWidth="1"/>
    <col min="18" max="18" width="6.5703125" customWidth="1"/>
    <col min="19" max="19" width="6.85546875" customWidth="1"/>
    <col min="30" max="30" width="8.7109375" customWidth="1"/>
    <col min="31" max="41" width="7.85546875" style="3" customWidth="1"/>
    <col min="87" max="87" width="10.7109375" style="3"/>
    <col min="88" max="88" width="6.85546875" customWidth="1"/>
    <col min="89" max="89" width="8.140625" customWidth="1"/>
    <col min="90" max="90" width="7.28515625" customWidth="1"/>
    <col min="91" max="92" width="6.5703125" customWidth="1"/>
    <col min="93" max="93" width="5.28515625" customWidth="1"/>
    <col min="94" max="94" width="5.85546875" customWidth="1"/>
    <col min="95" max="95" width="7.5703125" customWidth="1"/>
    <col min="96" max="96" width="6.140625" customWidth="1"/>
    <col min="97" max="97" width="6.85546875" customWidth="1"/>
    <col min="98" max="98" width="6.28515625" customWidth="1"/>
    <col min="99" max="99" width="5.85546875" customWidth="1"/>
    <col min="100" max="100" width="6.7109375" customWidth="1"/>
    <col min="101" max="101" width="6.5703125" customWidth="1"/>
    <col min="102" max="102" width="5.85546875" customWidth="1"/>
    <col min="106" max="106" width="5.85546875" customWidth="1"/>
    <col min="107" max="107" width="6.5703125" customWidth="1"/>
    <col min="108" max="109" width="10.7109375" style="1"/>
    <col min="115" max="115" width="10.7109375" style="3"/>
    <col min="119" max="120" width="10.7109375" style="60"/>
  </cols>
  <sheetData>
    <row r="1" spans="1:121">
      <c r="A1" t="s">
        <v>25</v>
      </c>
      <c r="B1" t="s">
        <v>27</v>
      </c>
      <c r="C1" t="s">
        <v>21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177</v>
      </c>
      <c r="L1" t="s">
        <v>160</v>
      </c>
      <c r="M1" t="s">
        <v>161</v>
      </c>
      <c r="N1" t="s">
        <v>167</v>
      </c>
      <c r="O1" s="3" t="s">
        <v>163</v>
      </c>
      <c r="P1" s="1" t="s">
        <v>168</v>
      </c>
      <c r="Q1" t="s">
        <v>164</v>
      </c>
      <c r="R1" t="s">
        <v>121</v>
      </c>
      <c r="S1" t="s">
        <v>122</v>
      </c>
      <c r="T1" t="s">
        <v>123</v>
      </c>
      <c r="U1" t="s">
        <v>124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125</v>
      </c>
      <c r="AC1" t="s">
        <v>42</v>
      </c>
      <c r="AD1" t="s">
        <v>132</v>
      </c>
      <c r="AE1" s="3" t="s">
        <v>43</v>
      </c>
      <c r="AF1" s="4" t="s">
        <v>130</v>
      </c>
      <c r="AG1" s="4" t="s">
        <v>131</v>
      </c>
      <c r="AH1" s="4" t="s">
        <v>121</v>
      </c>
      <c r="AI1" s="4" t="s">
        <v>126</v>
      </c>
      <c r="AJ1" s="4" t="s">
        <v>127</v>
      </c>
      <c r="AK1" s="4" t="s">
        <v>123</v>
      </c>
      <c r="AL1" s="4" t="s">
        <v>122</v>
      </c>
      <c r="AM1" s="4" t="s">
        <v>128</v>
      </c>
      <c r="AN1" s="4" t="s">
        <v>124</v>
      </c>
      <c r="AO1" s="4" t="s">
        <v>129</v>
      </c>
      <c r="CJ1" s="7" t="s">
        <v>169</v>
      </c>
      <c r="CK1" s="7" t="s">
        <v>17</v>
      </c>
      <c r="CL1" s="7" t="s">
        <v>4</v>
      </c>
      <c r="CM1" s="7" t="s">
        <v>0</v>
      </c>
      <c r="CN1" s="7" t="s">
        <v>173</v>
      </c>
      <c r="CO1" s="7" t="s">
        <v>5</v>
      </c>
      <c r="CP1" s="7" t="s">
        <v>14</v>
      </c>
      <c r="CQ1" s="7" t="s">
        <v>12</v>
      </c>
      <c r="CR1" s="7" t="s">
        <v>36</v>
      </c>
      <c r="CS1" s="7" t="s">
        <v>18</v>
      </c>
      <c r="CT1" s="7" t="s">
        <v>180</v>
      </c>
      <c r="CU1" s="7" t="s">
        <v>182</v>
      </c>
      <c r="CV1" s="7" t="s">
        <v>178</v>
      </c>
      <c r="CW1" s="7" t="s">
        <v>179</v>
      </c>
      <c r="CX1" s="7" t="s">
        <v>34</v>
      </c>
      <c r="DB1" t="s">
        <v>80</v>
      </c>
      <c r="DC1" t="s">
        <v>81</v>
      </c>
      <c r="DD1" s="1" t="s">
        <v>94</v>
      </c>
      <c r="DE1" s="1" t="s">
        <v>95</v>
      </c>
      <c r="DF1" t="s">
        <v>45</v>
      </c>
      <c r="DG1" t="s">
        <v>46</v>
      </c>
      <c r="DH1" t="s">
        <v>102</v>
      </c>
      <c r="DI1" t="s">
        <v>69</v>
      </c>
      <c r="DJ1" t="s">
        <v>167</v>
      </c>
      <c r="DK1" s="3" t="s">
        <v>247</v>
      </c>
      <c r="DN1" t="s">
        <v>248</v>
      </c>
      <c r="DO1" s="60" t="s">
        <v>96</v>
      </c>
      <c r="DP1" s="60" t="s">
        <v>104</v>
      </c>
      <c r="DQ1" t="s">
        <v>101</v>
      </c>
    </row>
    <row r="2" spans="1:121">
      <c r="A2" t="s">
        <v>26</v>
      </c>
      <c r="B2" t="s">
        <v>28</v>
      </c>
      <c r="C2" t="s">
        <v>22</v>
      </c>
      <c r="E2" t="s">
        <v>50</v>
      </c>
      <c r="F2" t="s">
        <v>50</v>
      </c>
      <c r="G2" t="s">
        <v>50</v>
      </c>
      <c r="H2" t="s">
        <v>50</v>
      </c>
      <c r="I2" t="s">
        <v>50</v>
      </c>
      <c r="J2" t="s">
        <v>50</v>
      </c>
      <c r="K2" t="s">
        <v>165</v>
      </c>
      <c r="L2" t="s">
        <v>134</v>
      </c>
      <c r="M2" t="s">
        <v>134</v>
      </c>
      <c r="O2" s="3" t="s">
        <v>165</v>
      </c>
      <c r="Q2" t="s">
        <v>165</v>
      </c>
      <c r="R2" t="s">
        <v>134</v>
      </c>
      <c r="S2" t="s">
        <v>134</v>
      </c>
      <c r="T2" t="s">
        <v>134</v>
      </c>
      <c r="U2" t="s">
        <v>134</v>
      </c>
      <c r="V2" t="s">
        <v>134</v>
      </c>
      <c r="W2" t="s">
        <v>134</v>
      </c>
      <c r="X2" t="s">
        <v>134</v>
      </c>
      <c r="Y2" t="s">
        <v>134</v>
      </c>
      <c r="Z2" t="s">
        <v>134</v>
      </c>
      <c r="AA2" t="s">
        <v>134</v>
      </c>
      <c r="AB2" t="s">
        <v>134</v>
      </c>
      <c r="AD2" t="s">
        <v>134</v>
      </c>
      <c r="AP2" t="s">
        <v>169</v>
      </c>
      <c r="AQ2" t="s">
        <v>170</v>
      </c>
      <c r="AR2" t="s">
        <v>171</v>
      </c>
      <c r="AS2" t="s">
        <v>172</v>
      </c>
      <c r="AT2" t="s">
        <v>173</v>
      </c>
      <c r="AU2" t="s">
        <v>174</v>
      </c>
      <c r="AV2" t="s">
        <v>175</v>
      </c>
      <c r="AW2" t="s">
        <v>176</v>
      </c>
      <c r="AX2" t="s">
        <v>177</v>
      </c>
      <c r="AY2" t="s">
        <v>178</v>
      </c>
      <c r="AZ2" t="s">
        <v>179</v>
      </c>
      <c r="BA2" t="s">
        <v>180</v>
      </c>
      <c r="BB2" t="s">
        <v>181</v>
      </c>
      <c r="BC2" t="s">
        <v>182</v>
      </c>
      <c r="BD2" t="s">
        <v>183</v>
      </c>
      <c r="BE2" t="s">
        <v>184</v>
      </c>
      <c r="BF2" t="s">
        <v>185</v>
      </c>
      <c r="BG2" t="s">
        <v>0</v>
      </c>
      <c r="BH2" t="s">
        <v>1</v>
      </c>
      <c r="BI2" t="s">
        <v>2</v>
      </c>
      <c r="BJ2" t="s">
        <v>3</v>
      </c>
      <c r="BK2" t="s">
        <v>4</v>
      </c>
      <c r="BL2" t="s">
        <v>5</v>
      </c>
      <c r="BM2" t="s">
        <v>6</v>
      </c>
      <c r="BN2" t="s">
        <v>7</v>
      </c>
      <c r="BO2" t="s">
        <v>8</v>
      </c>
      <c r="BP2" t="s">
        <v>9</v>
      </c>
      <c r="BQ2" t="s">
        <v>10</v>
      </c>
      <c r="BR2" t="s">
        <v>11</v>
      </c>
      <c r="BS2" t="s">
        <v>12</v>
      </c>
      <c r="BT2" t="s">
        <v>13</v>
      </c>
      <c r="BU2" t="s">
        <v>14</v>
      </c>
      <c r="BV2" t="s">
        <v>15</v>
      </c>
      <c r="BW2" t="s">
        <v>16</v>
      </c>
      <c r="BX2" t="s">
        <v>17</v>
      </c>
      <c r="BY2" t="s">
        <v>18</v>
      </c>
      <c r="BZ2" t="s">
        <v>19</v>
      </c>
      <c r="CA2" t="s">
        <v>20</v>
      </c>
      <c r="CB2" t="s">
        <v>30</v>
      </c>
      <c r="CC2" t="s">
        <v>31</v>
      </c>
      <c r="CD2" t="s">
        <v>32</v>
      </c>
      <c r="CE2" t="s">
        <v>33</v>
      </c>
      <c r="CF2" t="s">
        <v>34</v>
      </c>
      <c r="CG2" t="s">
        <v>35</v>
      </c>
      <c r="CH2" t="s">
        <v>36</v>
      </c>
      <c r="CI2" s="3" t="s">
        <v>69</v>
      </c>
      <c r="CJ2" s="7" t="s">
        <v>70</v>
      </c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DA2" t="s">
        <v>78</v>
      </c>
      <c r="DF2" t="s">
        <v>50</v>
      </c>
      <c r="DG2" t="s">
        <v>50</v>
      </c>
      <c r="DH2" t="s">
        <v>103</v>
      </c>
      <c r="DI2" t="s">
        <v>50</v>
      </c>
    </row>
    <row r="4" spans="1:121">
      <c r="B4" s="39" t="s">
        <v>29</v>
      </c>
      <c r="E4" s="39">
        <v>0.22</v>
      </c>
      <c r="F4" s="39">
        <v>0.01</v>
      </c>
      <c r="G4" s="39">
        <v>0.12</v>
      </c>
      <c r="H4" s="39">
        <v>0.17</v>
      </c>
      <c r="I4" s="39">
        <v>0.02</v>
      </c>
      <c r="J4" s="39">
        <v>0.08</v>
      </c>
      <c r="K4" s="39">
        <v>1.4</v>
      </c>
      <c r="L4" s="39">
        <v>0.03</v>
      </c>
      <c r="M4" s="39">
        <v>0.01</v>
      </c>
      <c r="N4" s="39">
        <f>10000*M4</f>
        <v>100</v>
      </c>
      <c r="O4" s="73">
        <v>0.4</v>
      </c>
      <c r="P4" s="1">
        <f>N4/O4</f>
        <v>250</v>
      </c>
      <c r="Q4">
        <v>0.01</v>
      </c>
      <c r="R4">
        <v>0.01</v>
      </c>
      <c r="S4">
        <v>0.01</v>
      </c>
      <c r="T4">
        <v>0.01</v>
      </c>
      <c r="U4">
        <v>0.01</v>
      </c>
      <c r="V4">
        <v>0.01</v>
      </c>
      <c r="W4">
        <v>0.01</v>
      </c>
      <c r="X4">
        <v>0.01</v>
      </c>
      <c r="Y4">
        <v>0.01</v>
      </c>
      <c r="Z4">
        <v>0.01</v>
      </c>
      <c r="AA4">
        <v>0.01</v>
      </c>
      <c r="AB4">
        <v>0.05</v>
      </c>
      <c r="AP4" t="s">
        <v>165</v>
      </c>
      <c r="AQ4" t="s">
        <v>165</v>
      </c>
      <c r="AR4" t="s">
        <v>165</v>
      </c>
      <c r="AS4" t="s">
        <v>165</v>
      </c>
      <c r="AT4" t="s">
        <v>165</v>
      </c>
      <c r="AU4" t="s">
        <v>165</v>
      </c>
      <c r="AV4" t="s">
        <v>165</v>
      </c>
      <c r="AW4" t="s">
        <v>165</v>
      </c>
      <c r="AX4" t="s">
        <v>165</v>
      </c>
      <c r="AY4" t="s">
        <v>165</v>
      </c>
      <c r="AZ4" t="s">
        <v>165</v>
      </c>
      <c r="BA4" t="s">
        <v>165</v>
      </c>
      <c r="BB4" t="s">
        <v>165</v>
      </c>
      <c r="BC4" t="s">
        <v>165</v>
      </c>
      <c r="BD4" t="s">
        <v>165</v>
      </c>
      <c r="BE4" t="s">
        <v>165</v>
      </c>
      <c r="BF4" t="s">
        <v>165</v>
      </c>
      <c r="BG4" t="s">
        <v>165</v>
      </c>
      <c r="BH4" t="s">
        <v>165</v>
      </c>
      <c r="BI4" t="s">
        <v>165</v>
      </c>
      <c r="BJ4" t="s">
        <v>165</v>
      </c>
      <c r="BK4" t="s">
        <v>165</v>
      </c>
      <c r="BL4" t="s">
        <v>165</v>
      </c>
      <c r="BM4" t="s">
        <v>165</v>
      </c>
      <c r="BN4" t="s">
        <v>165</v>
      </c>
      <c r="BO4" t="s">
        <v>165</v>
      </c>
      <c r="BP4" t="s">
        <v>165</v>
      </c>
      <c r="BQ4" t="s">
        <v>165</v>
      </c>
      <c r="BR4" t="s">
        <v>165</v>
      </c>
      <c r="BS4" t="s">
        <v>165</v>
      </c>
      <c r="BT4" t="s">
        <v>165</v>
      </c>
      <c r="BU4" t="s">
        <v>165</v>
      </c>
      <c r="BV4" t="s">
        <v>165</v>
      </c>
      <c r="BW4" t="s">
        <v>165</v>
      </c>
      <c r="BX4" t="s">
        <v>165</v>
      </c>
      <c r="BY4" t="s">
        <v>165</v>
      </c>
      <c r="BZ4" t="s">
        <v>165</v>
      </c>
      <c r="CA4" t="s">
        <v>165</v>
      </c>
      <c r="CB4" t="s">
        <v>165</v>
      </c>
      <c r="CC4" t="s">
        <v>165</v>
      </c>
      <c r="CD4" t="s">
        <v>165</v>
      </c>
      <c r="CE4" t="s">
        <v>165</v>
      </c>
      <c r="CF4" t="s">
        <v>165</v>
      </c>
      <c r="CG4" t="s">
        <v>165</v>
      </c>
      <c r="CH4" t="s">
        <v>165</v>
      </c>
      <c r="CI4" s="3" t="s">
        <v>165</v>
      </c>
      <c r="CJ4">
        <v>6.6</v>
      </c>
      <c r="CK4">
        <v>7.9500000000000001E-2</v>
      </c>
      <c r="CL4">
        <v>0.65800000000000003</v>
      </c>
      <c r="CM4">
        <v>0.64800000000000002</v>
      </c>
      <c r="CN4">
        <v>1.675</v>
      </c>
      <c r="CO4">
        <v>1.25</v>
      </c>
      <c r="CP4">
        <v>19.899999999999999</v>
      </c>
      <c r="CQ4">
        <v>0.40600000000000003</v>
      </c>
      <c r="CR4">
        <v>10.5</v>
      </c>
      <c r="CS4">
        <v>0.2</v>
      </c>
      <c r="CT4">
        <v>0.154</v>
      </c>
      <c r="CU4">
        <v>0.54400000000000004</v>
      </c>
      <c r="CV4">
        <v>0.67400000000000004</v>
      </c>
      <c r="CW4">
        <v>0.438</v>
      </c>
      <c r="CX4">
        <v>0.441</v>
      </c>
      <c r="DF4">
        <v>0.01</v>
      </c>
      <c r="DG4">
        <v>0.12</v>
      </c>
      <c r="DJ4">
        <v>100</v>
      </c>
    </row>
    <row r="6" spans="1:121" s="8" customFormat="1">
      <c r="A6" s="8" t="s">
        <v>136</v>
      </c>
      <c r="B6" s="11" t="s">
        <v>51</v>
      </c>
      <c r="C6" s="8">
        <v>163.5</v>
      </c>
      <c r="D6" s="8" t="s">
        <v>77</v>
      </c>
      <c r="E6" s="8">
        <v>2.42</v>
      </c>
      <c r="F6" s="9">
        <v>0.01</v>
      </c>
      <c r="G6" s="8">
        <v>0.21</v>
      </c>
      <c r="H6" s="8">
        <v>0.26</v>
      </c>
      <c r="I6" s="9">
        <v>0.01</v>
      </c>
      <c r="J6" s="9">
        <v>0.04</v>
      </c>
      <c r="K6" s="8">
        <v>82.6</v>
      </c>
      <c r="L6" s="8">
        <v>2.2799999999999998</v>
      </c>
      <c r="M6" s="8">
        <v>0.08</v>
      </c>
      <c r="N6" s="8">
        <f t="shared" ref="N6:N41" si="0">10000*M6</f>
        <v>800</v>
      </c>
      <c r="O6" s="100">
        <v>0.2</v>
      </c>
      <c r="P6" s="101">
        <f>N6/O6</f>
        <v>4000</v>
      </c>
      <c r="Q6" s="8">
        <v>0.01</v>
      </c>
      <c r="R6" s="8">
        <v>14.39</v>
      </c>
      <c r="S6" s="8">
        <v>6.93</v>
      </c>
      <c r="T6" s="8">
        <v>11.14</v>
      </c>
      <c r="U6" s="8">
        <v>0.68</v>
      </c>
      <c r="V6" s="8">
        <v>11.09</v>
      </c>
      <c r="W6" s="8">
        <v>0.24</v>
      </c>
      <c r="X6" s="8">
        <v>2.61</v>
      </c>
      <c r="Y6" s="8">
        <v>0.06</v>
      </c>
      <c r="Z6" s="8">
        <v>44.6</v>
      </c>
      <c r="AA6" s="8">
        <v>0.79</v>
      </c>
      <c r="AB6" s="8">
        <v>7.26</v>
      </c>
      <c r="AC6" s="8">
        <f>SUM(R6:AA6)</f>
        <v>92.530000000000015</v>
      </c>
      <c r="AD6" s="8">
        <v>99.79</v>
      </c>
      <c r="AE6" s="4">
        <f>100/AC6</f>
        <v>1.0807305738679345</v>
      </c>
      <c r="AF6" s="4">
        <f>Z6*AE6</f>
        <v>48.20058359450988</v>
      </c>
      <c r="AG6" s="4">
        <f>AA6*AE6</f>
        <v>0.85377715335566828</v>
      </c>
      <c r="AH6" s="4">
        <f>R6*AE6</f>
        <v>15.551712957959579</v>
      </c>
      <c r="AI6" s="4">
        <f>AE6*V6</f>
        <v>11.985302064195393</v>
      </c>
      <c r="AJ6" s="4">
        <f>AE6*W6</f>
        <v>0.25937533772830429</v>
      </c>
      <c r="AK6" s="4">
        <f>AE6*T6</f>
        <v>12.039338592888791</v>
      </c>
      <c r="AL6" s="4">
        <f>AE6*S6</f>
        <v>7.4894628769047857</v>
      </c>
      <c r="AM6" s="4">
        <f>AE6*X6</f>
        <v>2.8207067977953089</v>
      </c>
      <c r="AN6" s="4">
        <f>AE6*U6</f>
        <v>0.7348967902301955</v>
      </c>
      <c r="AO6" s="4">
        <f>AE6*Y6</f>
        <v>6.4843834432076072E-2</v>
      </c>
      <c r="AP6" s="8">
        <v>394.8</v>
      </c>
      <c r="AQ6" s="8">
        <v>0.84</v>
      </c>
      <c r="AR6" s="8" t="s">
        <v>37</v>
      </c>
      <c r="AS6" s="8">
        <v>6.8000000000000005E-2</v>
      </c>
      <c r="AT6" s="8">
        <v>8.9</v>
      </c>
      <c r="AU6" s="8">
        <v>68.930000000000007</v>
      </c>
      <c r="AV6" s="8">
        <v>514</v>
      </c>
      <c r="AW6" s="8">
        <v>8.5660000000000007</v>
      </c>
      <c r="AX6" s="8">
        <v>82.6</v>
      </c>
      <c r="AY6" s="8">
        <v>3.7189999999999999</v>
      </c>
      <c r="AZ6" s="8">
        <v>2.3420000000000001</v>
      </c>
      <c r="BA6" s="8">
        <v>0.69399999999999995</v>
      </c>
      <c r="BB6" s="8">
        <v>14.57</v>
      </c>
      <c r="BC6" s="8">
        <v>2.94</v>
      </c>
      <c r="BD6" s="8">
        <v>1.34</v>
      </c>
      <c r="BE6" s="8">
        <v>0.79</v>
      </c>
      <c r="BF6" s="8">
        <v>6.4000000000000001E-2</v>
      </c>
      <c r="BG6" s="8">
        <v>3.82</v>
      </c>
      <c r="BH6" s="8">
        <v>51</v>
      </c>
      <c r="BI6" s="8">
        <v>0.33200000000000002</v>
      </c>
      <c r="BJ6" s="8">
        <v>0.61</v>
      </c>
      <c r="BK6" s="8">
        <v>2.778</v>
      </c>
      <c r="BL6" s="8">
        <v>6</v>
      </c>
      <c r="BM6" s="8">
        <v>238.5</v>
      </c>
      <c r="BN6" s="8">
        <v>2.7</v>
      </c>
      <c r="BO6" s="8">
        <v>1.2410000000000001</v>
      </c>
      <c r="BP6" s="8">
        <v>24.76</v>
      </c>
      <c r="BQ6" s="8">
        <v>0.22</v>
      </c>
      <c r="BR6" s="8">
        <v>49.3</v>
      </c>
      <c r="BS6" s="8">
        <v>2.0710000000000002</v>
      </c>
      <c r="BT6" s="8">
        <v>0.62</v>
      </c>
      <c r="BU6" s="8">
        <v>305.10000000000002</v>
      </c>
      <c r="BV6" s="8">
        <v>0.23</v>
      </c>
      <c r="BW6" s="8">
        <v>0.53700000000000003</v>
      </c>
      <c r="BX6" s="8">
        <v>0.80600000000000005</v>
      </c>
      <c r="BY6" s="8">
        <v>4898</v>
      </c>
      <c r="BZ6" s="8">
        <v>0.13100000000000001</v>
      </c>
      <c r="CA6" s="8">
        <v>0.34300000000000003</v>
      </c>
      <c r="CB6" s="8">
        <v>0.23300000000000001</v>
      </c>
      <c r="CC6" s="8">
        <v>285.2</v>
      </c>
      <c r="CD6" s="8">
        <v>77.930000000000007</v>
      </c>
      <c r="CE6" s="8">
        <v>20.65</v>
      </c>
      <c r="CF6" s="8">
        <v>2.21</v>
      </c>
      <c r="CG6" s="8">
        <v>111</v>
      </c>
      <c r="CH6" s="8">
        <v>46</v>
      </c>
      <c r="CI6" s="4">
        <f>380*G6/N6</f>
        <v>9.9749999999999991E-2</v>
      </c>
      <c r="CJ6" s="4">
        <f>AE6*AP6/6.6</f>
        <v>64.647337964100075</v>
      </c>
      <c r="CK6" s="4">
        <f>AE6*BX6/0.0795</f>
        <v>10.956840786635915</v>
      </c>
      <c r="CL6" s="4">
        <f>AE6*BK6/0.658</f>
        <v>4.5627196568466895</v>
      </c>
      <c r="CM6" s="4">
        <f>AE6*BG6/0.648</f>
        <v>6.3709734447152924</v>
      </c>
      <c r="CN6" s="4">
        <f>AE6*AT6/1.675</f>
        <v>5.7423893178654435</v>
      </c>
      <c r="CO6" s="4">
        <f>AE6*BK6/1.25</f>
        <v>2.4018156273640976</v>
      </c>
      <c r="CP6" s="4">
        <f>AE6*BU6/19.9</f>
        <v>16.569391863673712</v>
      </c>
      <c r="CQ6" s="4">
        <f>AE6*BS6/0.406</f>
        <v>5.5127906859125426</v>
      </c>
      <c r="CR6" s="4">
        <f>AE6*CH6/10.5</f>
        <v>4.7346291807547605</v>
      </c>
      <c r="CS6" s="4">
        <f>AE6*AG6/0.2</f>
        <v>4.6135153645070144</v>
      </c>
      <c r="CT6" s="4">
        <f>AE6*BA6/0.154</f>
        <v>4.8703053134048471</v>
      </c>
      <c r="CU6" s="4">
        <f>AE6*BC6/0.544</f>
        <v>5.8407130278892039</v>
      </c>
      <c r="CV6" s="4">
        <f>AE6*AY6/0.674</f>
        <v>5.9632596501703983</v>
      </c>
      <c r="CW6" s="4">
        <f>AE6*AZ6/0.438</f>
        <v>5.7787009223714669</v>
      </c>
      <c r="CX6" s="4">
        <f>AE6*CF6/0.441</f>
        <v>5.4159060504492862</v>
      </c>
      <c r="CY6" s="8" t="s">
        <v>136</v>
      </c>
      <c r="CZ6" s="8" t="s">
        <v>77</v>
      </c>
      <c r="DB6" s="4">
        <f>CL6/CK6</f>
        <v>0.41642657274091721</v>
      </c>
      <c r="DC6" s="4">
        <f>CK6/CX6</f>
        <v>2.0230854605993343</v>
      </c>
      <c r="DD6" s="10">
        <f>1000*BM6/G6</f>
        <v>1135714.2857142857</v>
      </c>
      <c r="DE6" s="10">
        <f>1000*AX6/F6</f>
        <v>8260000</v>
      </c>
      <c r="DF6" s="9">
        <v>0.01</v>
      </c>
      <c r="DG6" s="8">
        <v>0.21</v>
      </c>
      <c r="DH6" s="4">
        <f>K6*38/M6/10000</f>
        <v>3.9234999999999993</v>
      </c>
      <c r="DI6" s="4"/>
      <c r="DJ6" s="8">
        <v>800</v>
      </c>
      <c r="DK6" s="4">
        <f>BC6/CF6</f>
        <v>1.3303167420814479</v>
      </c>
      <c r="DN6" s="4">
        <f>CM6/CX6</f>
        <v>1.176344896933132</v>
      </c>
      <c r="DO6" s="102">
        <f>1000*AX6/G6</f>
        <v>393333.33333333337</v>
      </c>
      <c r="DP6" s="102"/>
      <c r="DQ6" s="4">
        <f>BM6/K6</f>
        <v>2.887409200968523</v>
      </c>
    </row>
    <row r="7" spans="1:121" s="8" customFormat="1">
      <c r="A7" s="8" t="s">
        <v>137</v>
      </c>
      <c r="B7" s="11" t="s">
        <v>51</v>
      </c>
      <c r="C7" s="8">
        <v>164.2</v>
      </c>
      <c r="D7" s="8" t="s">
        <v>77</v>
      </c>
      <c r="E7" s="8">
        <v>1.69</v>
      </c>
      <c r="F7" s="8">
        <v>0.02</v>
      </c>
      <c r="G7" s="8">
        <v>0.26</v>
      </c>
      <c r="H7" s="8">
        <v>0.2</v>
      </c>
      <c r="I7" s="8">
        <v>0.02</v>
      </c>
      <c r="J7" s="9">
        <v>0.04</v>
      </c>
      <c r="K7" s="8">
        <v>63.5</v>
      </c>
      <c r="L7" s="8">
        <v>2.27</v>
      </c>
      <c r="M7" s="8">
        <v>0.12</v>
      </c>
      <c r="N7" s="8">
        <f t="shared" si="0"/>
        <v>1200</v>
      </c>
      <c r="O7" s="100">
        <v>0.2</v>
      </c>
      <c r="P7" s="101">
        <f>N7/O7</f>
        <v>6000</v>
      </c>
      <c r="Q7" s="8">
        <v>0.01</v>
      </c>
      <c r="R7" s="8">
        <v>14.73</v>
      </c>
      <c r="S7" s="8">
        <v>5.17</v>
      </c>
      <c r="T7" s="8">
        <v>12.03</v>
      </c>
      <c r="U7" s="8">
        <v>0.47</v>
      </c>
      <c r="V7" s="8">
        <v>11.45</v>
      </c>
      <c r="W7" s="8">
        <v>0.22</v>
      </c>
      <c r="X7" s="8">
        <v>2.99</v>
      </c>
      <c r="Y7" s="8">
        <v>7.0000000000000007E-2</v>
      </c>
      <c r="Z7" s="8">
        <v>43.94</v>
      </c>
      <c r="AA7" s="8">
        <v>0.87</v>
      </c>
      <c r="AB7" s="8">
        <v>7.62</v>
      </c>
      <c r="AC7" s="8">
        <f t="shared" ref="AC7:AC41" si="1">SUM(R7:AA7)</f>
        <v>91.94</v>
      </c>
      <c r="AD7" s="8">
        <v>99.58</v>
      </c>
      <c r="AE7" s="4">
        <f t="shared" ref="AE7:AE41" si="2">100/AC7</f>
        <v>1.0876658690450294</v>
      </c>
      <c r="AF7" s="4">
        <f t="shared" ref="AF7:AF41" si="3">Z7*AE7</f>
        <v>47.792038285838586</v>
      </c>
      <c r="AG7" s="4">
        <f t="shared" ref="AG7:AG41" si="4">AA7*AE7</f>
        <v>0.94626930606917559</v>
      </c>
      <c r="AH7" s="4">
        <f t="shared" ref="AH7:AH41" si="5">R7*AE7</f>
        <v>16.021318251033282</v>
      </c>
      <c r="AI7" s="4">
        <f t="shared" ref="AI7:AI41" si="6">AE7*V7</f>
        <v>12.453774200565585</v>
      </c>
      <c r="AJ7" s="4">
        <f t="shared" ref="AJ7:AJ41" si="7">AE7*W7</f>
        <v>0.23928649118990647</v>
      </c>
      <c r="AK7" s="4">
        <f t="shared" ref="AK7:AK41" si="8">AE7*T7</f>
        <v>13.084620404611703</v>
      </c>
      <c r="AL7" s="4">
        <f t="shared" ref="AL7:AL41" si="9">AE7*S7</f>
        <v>5.6232325429628016</v>
      </c>
      <c r="AM7" s="4">
        <f t="shared" ref="AM7:AM41" si="10">AE7*X7</f>
        <v>3.2521209484446381</v>
      </c>
      <c r="AN7" s="4">
        <f t="shared" ref="AN7:AN41" si="11">AE7*U7</f>
        <v>0.51120295845116381</v>
      </c>
      <c r="AO7" s="4">
        <f t="shared" ref="AO7:AO41" si="12">AE7*Y7</f>
        <v>7.6136610833152069E-2</v>
      </c>
      <c r="AP7" s="8">
        <v>353.9</v>
      </c>
      <c r="AQ7" s="8">
        <v>0.57999999999999996</v>
      </c>
      <c r="AR7" s="8" t="s">
        <v>37</v>
      </c>
      <c r="AS7" s="8">
        <v>0.31</v>
      </c>
      <c r="AT7" s="8">
        <v>10.33</v>
      </c>
      <c r="AU7" s="8">
        <v>71.36</v>
      </c>
      <c r="AV7" s="8">
        <v>564</v>
      </c>
      <c r="AW7" s="8">
        <v>9.891</v>
      </c>
      <c r="AX7" s="8">
        <v>63.5</v>
      </c>
      <c r="AY7" s="8">
        <v>3.8610000000000002</v>
      </c>
      <c r="AZ7" s="8">
        <v>2.3719999999999999</v>
      </c>
      <c r="BA7" s="8">
        <v>0.91600000000000004</v>
      </c>
      <c r="BB7" s="8">
        <v>15.4</v>
      </c>
      <c r="BC7" s="8">
        <v>3.1930000000000001</v>
      </c>
      <c r="BD7" s="8">
        <v>1.57</v>
      </c>
      <c r="BE7" s="8">
        <v>0.81200000000000006</v>
      </c>
      <c r="BF7" s="8">
        <v>6.2E-2</v>
      </c>
      <c r="BG7" s="8">
        <v>4.5999999999999996</v>
      </c>
      <c r="BH7" s="8">
        <v>56.2</v>
      </c>
      <c r="BI7" s="8">
        <v>0.33800000000000002</v>
      </c>
      <c r="BJ7" s="8">
        <v>0.35</v>
      </c>
      <c r="BK7" s="8">
        <v>3.093</v>
      </c>
      <c r="BL7" s="8">
        <v>6.79</v>
      </c>
      <c r="BM7" s="8">
        <v>288.10000000000002</v>
      </c>
      <c r="BN7" s="8">
        <v>4.0999999999999996</v>
      </c>
      <c r="BO7" s="8">
        <v>1.4179999999999999</v>
      </c>
      <c r="BP7" s="8">
        <v>16.68</v>
      </c>
      <c r="BQ7" s="8">
        <v>0.27</v>
      </c>
      <c r="BR7" s="8">
        <v>44.8</v>
      </c>
      <c r="BS7" s="8">
        <v>2.2610000000000001</v>
      </c>
      <c r="BT7" s="8">
        <v>0.76</v>
      </c>
      <c r="BU7" s="8">
        <v>313.8</v>
      </c>
      <c r="BV7" s="8">
        <v>0.215</v>
      </c>
      <c r="BW7" s="8">
        <v>0.56200000000000006</v>
      </c>
      <c r="BX7" s="8">
        <v>0.93400000000000005</v>
      </c>
      <c r="BY7" s="8">
        <v>5524</v>
      </c>
      <c r="BZ7" s="8">
        <v>0.121</v>
      </c>
      <c r="CA7" s="8">
        <v>0.34799999999999998</v>
      </c>
      <c r="CB7" s="8">
        <v>0.26700000000000002</v>
      </c>
      <c r="CC7" s="8">
        <v>302.60000000000002</v>
      </c>
      <c r="CD7" s="8">
        <v>35.49</v>
      </c>
      <c r="CE7" s="8">
        <v>21.46</v>
      </c>
      <c r="CF7" s="8">
        <v>2.2509999999999999</v>
      </c>
      <c r="CG7" s="8">
        <v>96</v>
      </c>
      <c r="CH7" s="8">
        <v>55</v>
      </c>
      <c r="CI7" s="4">
        <f>380*G7/N7</f>
        <v>8.2333333333333328E-2</v>
      </c>
      <c r="CJ7" s="4">
        <f>AE7*AP7/6.6</f>
        <v>58.321962281066043</v>
      </c>
      <c r="CK7" s="4">
        <f>AE7*BX7/0.0795</f>
        <v>12.778363794818333</v>
      </c>
      <c r="CL7" s="4">
        <f>AE7*BK7/0.658</f>
        <v>5.1126907795688084</v>
      </c>
      <c r="CM7" s="4">
        <f>AE7*BG7/0.648</f>
        <v>7.7210848728505166</v>
      </c>
      <c r="CN7" s="4">
        <f>AE7*AT7/1.675</f>
        <v>6.7078139864090467</v>
      </c>
      <c r="CO7" s="4">
        <f>AE7*BK7/1.25</f>
        <v>2.6913204263650208</v>
      </c>
      <c r="CP7" s="4">
        <f>AE7*BU7/19.9</f>
        <v>17.151233653584434</v>
      </c>
      <c r="CQ7" s="4">
        <f>AE7*BS7/0.406</f>
        <v>6.0571737189921464</v>
      </c>
      <c r="CR7" s="4">
        <f>AE7*CH7/10.5</f>
        <v>5.6972974092834869</v>
      </c>
      <c r="CS7" s="4">
        <f>AE7*AG7/0.2</f>
        <v>5.1461241356818332</v>
      </c>
      <c r="CT7" s="4">
        <f>AE7*BA7/0.154</f>
        <v>6.4694930912029021</v>
      </c>
      <c r="CU7" s="4">
        <f>AE7*BC7/0.544</f>
        <v>6.3840388232734897</v>
      </c>
      <c r="CV7" s="4">
        <f>AE7*AY7/0.674</f>
        <v>6.230679407096229</v>
      </c>
      <c r="CW7" s="4">
        <f>AE7*AZ7/0.438</f>
        <v>5.890281829622853</v>
      </c>
      <c r="CX7" s="4">
        <f>AE7*CF7/0.441</f>
        <v>5.5517820209078481</v>
      </c>
      <c r="CY7" s="8" t="s">
        <v>137</v>
      </c>
      <c r="CZ7" s="8" t="s">
        <v>77</v>
      </c>
      <c r="DB7" s="4">
        <f t="shared" ref="DB7:DB41" si="13">CL7/CK7</f>
        <v>0.40010527651764155</v>
      </c>
      <c r="DC7" s="4">
        <f t="shared" ref="DC7:DC41" si="14">CK7/CX7</f>
        <v>2.3016688599616106</v>
      </c>
      <c r="DD7" s="10">
        <f>1000*BM7/G7</f>
        <v>1108076.923076923</v>
      </c>
      <c r="DE7" s="10">
        <f>1000*AX7/F7</f>
        <v>3175000</v>
      </c>
      <c r="DF7" s="8">
        <v>0.02</v>
      </c>
      <c r="DG7" s="8">
        <v>0.26</v>
      </c>
      <c r="DH7" s="4">
        <f>K7*38/M7/10000</f>
        <v>2.0108333333333337</v>
      </c>
      <c r="DI7" s="4"/>
      <c r="DJ7" s="8">
        <v>1200</v>
      </c>
      <c r="DK7" s="4">
        <f t="shared" ref="DK7:DK62" si="15">BC7/CF7</f>
        <v>1.4184806752554422</v>
      </c>
      <c r="DN7" s="4">
        <f t="shared" ref="DN7:DN62" si="16">CM7/CX7</f>
        <v>1.3907399180611086</v>
      </c>
      <c r="DO7" s="102">
        <f>1000*AX7/G7</f>
        <v>244230.76923076922</v>
      </c>
      <c r="DP7" s="102"/>
      <c r="DQ7" s="4">
        <f>BM7/K7</f>
        <v>4.5370078740157487</v>
      </c>
    </row>
    <row r="8" spans="1:121" s="8" customFormat="1">
      <c r="A8" s="8" t="s">
        <v>138</v>
      </c>
      <c r="B8" s="11" t="s">
        <v>51</v>
      </c>
      <c r="C8" s="8">
        <v>167.45</v>
      </c>
      <c r="D8" s="8" t="s">
        <v>77</v>
      </c>
      <c r="E8" s="8">
        <v>1.23</v>
      </c>
      <c r="F8" s="9">
        <v>0.01</v>
      </c>
      <c r="G8" s="8">
        <v>0.13</v>
      </c>
      <c r="H8" s="9">
        <v>0.17</v>
      </c>
      <c r="I8" s="9">
        <v>0.01</v>
      </c>
      <c r="J8" s="9">
        <v>0.04</v>
      </c>
      <c r="K8" s="8">
        <v>122.8</v>
      </c>
      <c r="L8" s="8">
        <v>3.08</v>
      </c>
      <c r="M8" s="8">
        <v>0.22</v>
      </c>
      <c r="N8" s="8">
        <f t="shared" si="0"/>
        <v>2200</v>
      </c>
      <c r="O8" s="4">
        <v>0.4</v>
      </c>
      <c r="P8" s="10">
        <f>N8/O8</f>
        <v>5500</v>
      </c>
      <c r="Q8" s="8">
        <v>0.01</v>
      </c>
      <c r="R8" s="8">
        <v>14.28</v>
      </c>
      <c r="S8" s="8">
        <v>6.07</v>
      </c>
      <c r="T8" s="8">
        <v>10.72</v>
      </c>
      <c r="U8" s="8">
        <v>0.6</v>
      </c>
      <c r="V8" s="8">
        <v>9.1</v>
      </c>
      <c r="W8" s="8">
        <v>0.19</v>
      </c>
      <c r="X8" s="8">
        <v>3.11</v>
      </c>
      <c r="Y8" s="8">
        <v>0.11</v>
      </c>
      <c r="Z8" s="8">
        <v>45.77</v>
      </c>
      <c r="AA8" s="8">
        <v>1.1200000000000001</v>
      </c>
      <c r="AB8" s="8">
        <v>8.01</v>
      </c>
      <c r="AC8" s="8">
        <f t="shared" si="1"/>
        <v>91.070000000000007</v>
      </c>
      <c r="AD8" s="8">
        <v>99.08</v>
      </c>
      <c r="AE8" s="4">
        <f t="shared" si="2"/>
        <v>1.0980564401010211</v>
      </c>
      <c r="AF8" s="4">
        <f t="shared" si="3"/>
        <v>50.258043263423737</v>
      </c>
      <c r="AG8" s="4">
        <f t="shared" si="4"/>
        <v>1.2298232129131437</v>
      </c>
      <c r="AH8" s="4">
        <f t="shared" si="5"/>
        <v>15.68024596464258</v>
      </c>
      <c r="AI8" s="4">
        <f t="shared" si="6"/>
        <v>9.9923136049192909</v>
      </c>
      <c r="AJ8" s="4">
        <f t="shared" si="7"/>
        <v>0.20863072361919402</v>
      </c>
      <c r="AK8" s="4">
        <f t="shared" si="8"/>
        <v>11.771165037882946</v>
      </c>
      <c r="AL8" s="4">
        <f t="shared" si="9"/>
        <v>6.6652025914131983</v>
      </c>
      <c r="AM8" s="4">
        <f t="shared" si="10"/>
        <v>3.4149555287141755</v>
      </c>
      <c r="AN8" s="4">
        <f t="shared" si="11"/>
        <v>0.65883386406061262</v>
      </c>
      <c r="AO8" s="4">
        <f t="shared" si="12"/>
        <v>0.12078620841111232</v>
      </c>
      <c r="AP8" s="8">
        <v>519.5</v>
      </c>
      <c r="AQ8" s="8">
        <v>0.56999999999999995</v>
      </c>
      <c r="AR8" s="8" t="s">
        <v>37</v>
      </c>
      <c r="AS8" s="8">
        <v>6.8000000000000005E-2</v>
      </c>
      <c r="AT8" s="8">
        <v>14.96</v>
      </c>
      <c r="AU8" s="8">
        <v>57.81</v>
      </c>
      <c r="AV8" s="8">
        <v>327</v>
      </c>
      <c r="AW8" s="8">
        <v>10.499000000000001</v>
      </c>
      <c r="AX8" s="8">
        <v>122.8</v>
      </c>
      <c r="AY8" s="8">
        <v>5.4269999999999996</v>
      </c>
      <c r="AZ8" s="8">
        <v>3.415</v>
      </c>
      <c r="BA8" s="8">
        <v>1.1859999999999999</v>
      </c>
      <c r="BB8" s="8">
        <v>16.78</v>
      </c>
      <c r="BC8" s="8">
        <v>4.4550000000000001</v>
      </c>
      <c r="BD8" s="8">
        <v>2.1800000000000002</v>
      </c>
      <c r="BE8" s="8">
        <v>1.1419999999999999</v>
      </c>
      <c r="BF8" s="8">
        <v>7.5999999999999998E-2</v>
      </c>
      <c r="BG8" s="8">
        <v>6.67</v>
      </c>
      <c r="BH8" s="8">
        <v>46.4</v>
      </c>
      <c r="BI8" s="8">
        <v>0.48399999999999999</v>
      </c>
      <c r="BJ8" s="8">
        <v>0.3</v>
      </c>
      <c r="BK8" s="8">
        <v>4.2750000000000004</v>
      </c>
      <c r="BL8" s="8">
        <v>9.77</v>
      </c>
      <c r="BM8" s="8">
        <v>142.19999999999999</v>
      </c>
      <c r="BN8" s="8">
        <v>8.1999999999999993</v>
      </c>
      <c r="BO8" s="8">
        <v>2.069</v>
      </c>
      <c r="BP8" s="8">
        <v>23.8</v>
      </c>
      <c r="BQ8" s="8">
        <v>0.33</v>
      </c>
      <c r="BR8" s="8">
        <v>54.8</v>
      </c>
      <c r="BS8" s="8">
        <v>3.2330000000000001</v>
      </c>
      <c r="BT8" s="8">
        <v>0.93</v>
      </c>
      <c r="BU8" s="8">
        <v>264.8</v>
      </c>
      <c r="BV8" s="8">
        <v>0.29199999999999998</v>
      </c>
      <c r="BW8" s="8">
        <v>0.79400000000000004</v>
      </c>
      <c r="BX8" s="8">
        <v>1.3380000000000001</v>
      </c>
      <c r="BY8" s="8">
        <v>7525</v>
      </c>
      <c r="BZ8" s="8">
        <v>0.16600000000000001</v>
      </c>
      <c r="CA8" s="8">
        <v>0.503</v>
      </c>
      <c r="CB8" s="8">
        <v>0.378</v>
      </c>
      <c r="CC8" s="8" t="s">
        <v>38</v>
      </c>
      <c r="CD8" s="8">
        <v>46.57</v>
      </c>
      <c r="CE8" s="8">
        <v>29.93</v>
      </c>
      <c r="CF8" s="8">
        <v>3.2160000000000002</v>
      </c>
      <c r="CG8" s="8">
        <v>71</v>
      </c>
      <c r="CH8" s="8">
        <v>78</v>
      </c>
      <c r="CI8" s="4">
        <f>380*G8/N8</f>
        <v>2.2454545454545453E-2</v>
      </c>
      <c r="CJ8" s="4">
        <f>AE8*AP8/6.6</f>
        <v>86.430351610981901</v>
      </c>
      <c r="CK8" s="4">
        <f>AE8*BX8/0.0795</f>
        <v>18.480497067360584</v>
      </c>
      <c r="CL8" s="4">
        <f>AE8*BK8/0.658</f>
        <v>7.1340293030879414</v>
      </c>
      <c r="CM8" s="4">
        <f>AE8*BG8/0.648</f>
        <v>11.302525394249708</v>
      </c>
      <c r="CN8" s="4">
        <f>AE8*AT8/1.675</f>
        <v>9.8071190112903146</v>
      </c>
      <c r="CO8" s="4">
        <f>AE8*BK8/1.25</f>
        <v>3.7553530251454923</v>
      </c>
      <c r="CP8" s="4">
        <f>AE8*BU8/19.9</f>
        <v>14.61132388636937</v>
      </c>
      <c r="CQ8" s="4">
        <f>AE8*BS8/0.406</f>
        <v>8.743882933119707</v>
      </c>
      <c r="CR8" s="4">
        <f>AE8*CH8/10.5</f>
        <v>8.1569906978933009</v>
      </c>
      <c r="CS8" s="4">
        <f>AE8*AG8/0.2</f>
        <v>6.7520764956250332</v>
      </c>
      <c r="CT8" s="4">
        <f>AE8*BA8/0.154</f>
        <v>8.4564606361026691</v>
      </c>
      <c r="CU8" s="4">
        <f>AE8*BC8/0.544</f>
        <v>8.9923555894302361</v>
      </c>
      <c r="CV8" s="4">
        <f>AE8*AY8/0.674</f>
        <v>8.8414722558282506</v>
      </c>
      <c r="CW8" s="4">
        <f>AE8*AZ8/0.438</f>
        <v>8.5613304633447189</v>
      </c>
      <c r="CX8" s="4">
        <f>AE8*CF8/0.441</f>
        <v>8.0075952638659516</v>
      </c>
      <c r="CY8" s="8" t="s">
        <v>138</v>
      </c>
      <c r="CZ8" s="8" t="s">
        <v>77</v>
      </c>
      <c r="DB8" s="4">
        <f t="shared" si="13"/>
        <v>0.38603016342497304</v>
      </c>
      <c r="DC8" s="4">
        <f t="shared" si="14"/>
        <v>2.3078710222472543</v>
      </c>
      <c r="DD8" s="10">
        <f>1000*BM8/G8</f>
        <v>1093846.1538461538</v>
      </c>
      <c r="DE8" s="10">
        <f>1000*AX8/F8</f>
        <v>12280000</v>
      </c>
      <c r="DF8" s="9">
        <v>0.01</v>
      </c>
      <c r="DG8" s="8">
        <v>0.13</v>
      </c>
      <c r="DH8" s="4">
        <f>K8*38/M8/10000</f>
        <v>2.1210909090909089</v>
      </c>
      <c r="DI8" s="4"/>
      <c r="DJ8" s="8">
        <v>2200</v>
      </c>
      <c r="DK8" s="4">
        <f t="shared" si="15"/>
        <v>1.3852611940298507</v>
      </c>
      <c r="DN8" s="4">
        <f t="shared" si="16"/>
        <v>1.4114756080707569</v>
      </c>
      <c r="DO8" s="102">
        <f>1000*AX8/G8</f>
        <v>944615.38461538462</v>
      </c>
      <c r="DP8" s="102"/>
      <c r="DQ8" s="4">
        <f>BM8/K8</f>
        <v>1.1579804560260585</v>
      </c>
    </row>
    <row r="9" spans="1:121">
      <c r="A9" t="s">
        <v>222</v>
      </c>
      <c r="B9" t="s">
        <v>223</v>
      </c>
      <c r="C9">
        <v>169.2</v>
      </c>
      <c r="E9" s="50">
        <v>3</v>
      </c>
      <c r="F9" s="50"/>
      <c r="G9" s="51">
        <v>2.2999999999999998</v>
      </c>
      <c r="H9" s="51">
        <v>1.9</v>
      </c>
      <c r="K9" s="50">
        <v>114.3</v>
      </c>
      <c r="L9" s="3">
        <v>3.0066666666666664</v>
      </c>
      <c r="M9" s="52">
        <v>0.21</v>
      </c>
      <c r="N9" s="8">
        <f t="shared" si="0"/>
        <v>2100</v>
      </c>
      <c r="O9" s="52">
        <v>0.47739999999999999</v>
      </c>
      <c r="P9" s="10">
        <f t="shared" ref="P9:P16" si="17">N9/O9</f>
        <v>4398.8269794721409</v>
      </c>
      <c r="Q9" s="51">
        <v>1.6E-2</v>
      </c>
      <c r="R9" s="52">
        <v>15.62</v>
      </c>
      <c r="S9" s="52">
        <v>4.6500000000000004</v>
      </c>
      <c r="T9" s="52">
        <v>10.97</v>
      </c>
      <c r="U9" s="52">
        <v>0.62</v>
      </c>
      <c r="V9" s="52">
        <v>11.87</v>
      </c>
      <c r="W9" s="52">
        <v>0.17</v>
      </c>
      <c r="X9" s="52">
        <v>2.83</v>
      </c>
      <c r="Y9" s="52">
        <v>0.06</v>
      </c>
      <c r="Z9" s="52">
        <v>43.65</v>
      </c>
      <c r="AA9" s="52">
        <v>0.87</v>
      </c>
      <c r="AB9" s="51">
        <v>8.1999999999999993</v>
      </c>
      <c r="AC9" s="51">
        <f t="shared" ref="AC9:AC16" si="18">SUM(R9:AA9)</f>
        <v>91.31</v>
      </c>
      <c r="AD9" s="52">
        <v>99.69</v>
      </c>
      <c r="AE9" s="52">
        <f>100/AC9</f>
        <v>1.0951702989814915</v>
      </c>
      <c r="AF9" s="52">
        <f>Z9*AE9</f>
        <v>47.804183550542106</v>
      </c>
      <c r="AG9" s="52">
        <f>AE9*AA9</f>
        <v>0.95279816011389762</v>
      </c>
      <c r="AH9" s="52">
        <f>AE9*R9</f>
        <v>17.106560070090897</v>
      </c>
      <c r="AI9" s="52">
        <f>AE9*V9</f>
        <v>12.999671448910304</v>
      </c>
      <c r="AJ9" s="52">
        <f>AE9*W9</f>
        <v>0.18617895082685357</v>
      </c>
      <c r="AK9" s="52">
        <f>AE9*T9</f>
        <v>12.014018179826962</v>
      </c>
      <c r="AL9" s="52">
        <f>AE9*S9</f>
        <v>5.0925418902639361</v>
      </c>
      <c r="AM9" s="52">
        <f>AE9*X9</f>
        <v>3.099331946117621</v>
      </c>
      <c r="AN9" s="52">
        <f>AE9*U9</f>
        <v>0.67900558536852473</v>
      </c>
      <c r="AO9" s="52">
        <f t="shared" ref="AO9:AO16" si="19">AE9*Y9</f>
        <v>6.5710217938889495E-2</v>
      </c>
      <c r="AP9" s="50">
        <v>232</v>
      </c>
      <c r="AQ9" s="50" t="s">
        <v>205</v>
      </c>
      <c r="AR9" s="51" t="s">
        <v>206</v>
      </c>
      <c r="AS9" s="51" t="s">
        <v>206</v>
      </c>
      <c r="AT9" s="51">
        <v>10.4</v>
      </c>
      <c r="AU9" s="51">
        <v>61.3</v>
      </c>
      <c r="AV9" s="50">
        <v>489</v>
      </c>
      <c r="AW9" s="51">
        <v>10.5</v>
      </c>
      <c r="AX9" s="51">
        <v>114</v>
      </c>
      <c r="AY9" s="52">
        <v>3.3</v>
      </c>
      <c r="AZ9" s="3">
        <v>2.0299999999999998</v>
      </c>
      <c r="BA9" s="52">
        <v>0.85</v>
      </c>
      <c r="BB9" s="51">
        <v>13</v>
      </c>
      <c r="BC9" s="52">
        <v>3.18</v>
      </c>
      <c r="BD9" s="51">
        <v>1.4</v>
      </c>
      <c r="BE9" s="52">
        <v>0.59</v>
      </c>
      <c r="BG9" s="51">
        <v>9.9</v>
      </c>
      <c r="BI9" s="52">
        <v>0.27</v>
      </c>
      <c r="BJ9" s="51">
        <v>0.2</v>
      </c>
      <c r="BK9" s="60">
        <v>2.6</v>
      </c>
      <c r="BL9" s="51">
        <v>6.4</v>
      </c>
      <c r="BM9" s="50">
        <v>515</v>
      </c>
      <c r="BN9" s="51">
        <v>0.5</v>
      </c>
      <c r="BO9" s="52">
        <v>1.39</v>
      </c>
      <c r="BP9" s="51">
        <v>22</v>
      </c>
      <c r="BQ9" s="51" t="s">
        <v>206</v>
      </c>
      <c r="BR9" s="50">
        <v>38</v>
      </c>
      <c r="BS9" s="52">
        <v>2.2400000000000002</v>
      </c>
      <c r="BT9" s="50" t="s">
        <v>205</v>
      </c>
      <c r="BU9" s="51">
        <v>169.7</v>
      </c>
      <c r="BV9" s="51">
        <v>0.2</v>
      </c>
      <c r="BW9" s="52">
        <v>0.56999999999999995</v>
      </c>
      <c r="BX9" s="51">
        <v>0.9</v>
      </c>
      <c r="BY9" s="53"/>
      <c r="BZ9" s="53"/>
      <c r="CA9" s="52">
        <v>0.32</v>
      </c>
      <c r="CB9" s="51">
        <v>0.2</v>
      </c>
      <c r="CC9" s="50">
        <v>272</v>
      </c>
      <c r="CD9" s="51" t="s">
        <v>207</v>
      </c>
      <c r="CE9" s="51">
        <v>21</v>
      </c>
      <c r="CF9" s="52">
        <v>2.17</v>
      </c>
      <c r="CG9" s="50">
        <v>49</v>
      </c>
      <c r="CH9" s="51">
        <v>48.5</v>
      </c>
      <c r="CI9" s="53"/>
      <c r="CJ9" s="53"/>
      <c r="CK9" s="53">
        <v>8.5000000000000006E-2</v>
      </c>
      <c r="CP9" s="51" t="s">
        <v>206</v>
      </c>
      <c r="CQ9" s="51">
        <v>2.1</v>
      </c>
      <c r="CR9" s="51">
        <v>2.4</v>
      </c>
      <c r="CS9" s="51">
        <v>0.5</v>
      </c>
      <c r="CT9" s="50">
        <v>47</v>
      </c>
      <c r="CU9" s="50">
        <v>201</v>
      </c>
      <c r="CX9" s="50">
        <v>70</v>
      </c>
      <c r="CY9" s="53">
        <v>0.154</v>
      </c>
      <c r="CZ9" s="54" t="s">
        <v>208</v>
      </c>
      <c r="DA9" s="51" t="s">
        <v>206</v>
      </c>
      <c r="DB9" s="52"/>
      <c r="DC9" s="51">
        <v>20.9</v>
      </c>
      <c r="DD9" s="51" t="s">
        <v>206</v>
      </c>
      <c r="DE9" s="50"/>
      <c r="DF9" s="48" t="s">
        <v>213</v>
      </c>
      <c r="DG9" s="52"/>
      <c r="DH9" s="4">
        <f>K9*38/M9/10000</f>
        <v>2.0682857142857141</v>
      </c>
      <c r="DI9" s="48" t="s">
        <v>213</v>
      </c>
      <c r="DJ9" s="48" t="s">
        <v>213</v>
      </c>
      <c r="DK9" s="4">
        <f t="shared" si="15"/>
        <v>1.4654377880184333</v>
      </c>
      <c r="DL9" s="1"/>
      <c r="DN9" s="4">
        <f t="shared" si="16"/>
        <v>0</v>
      </c>
      <c r="DO9" s="102">
        <f>1000*AX9/G9</f>
        <v>49565.217391304352</v>
      </c>
      <c r="DP9" s="102"/>
      <c r="DQ9" s="4">
        <f>BM9/K9</f>
        <v>4.5056867891513566</v>
      </c>
    </row>
    <row r="10" spans="1:121" s="8" customFormat="1">
      <c r="A10" s="8" t="s">
        <v>139</v>
      </c>
      <c r="B10" s="11" t="s">
        <v>51</v>
      </c>
      <c r="C10" s="8">
        <v>170.9</v>
      </c>
      <c r="D10" s="8" t="s">
        <v>77</v>
      </c>
      <c r="E10" s="8">
        <v>4.2</v>
      </c>
      <c r="F10" s="8">
        <v>0.22</v>
      </c>
      <c r="G10" s="8">
        <v>4.08</v>
      </c>
      <c r="H10" s="8">
        <v>2.59</v>
      </c>
      <c r="I10" s="8">
        <v>0.13</v>
      </c>
      <c r="J10" s="8">
        <v>0.4</v>
      </c>
      <c r="K10" s="8">
        <v>190.5</v>
      </c>
      <c r="L10" s="8">
        <v>5.52</v>
      </c>
      <c r="M10" s="8">
        <v>0.2</v>
      </c>
      <c r="N10" s="8">
        <f>10000*M10</f>
        <v>2000</v>
      </c>
      <c r="O10" s="4">
        <v>0.6</v>
      </c>
      <c r="P10" s="10">
        <f t="shared" si="17"/>
        <v>3333.3333333333335</v>
      </c>
      <c r="Q10" s="8">
        <v>0.05</v>
      </c>
      <c r="R10" s="8">
        <v>13.05</v>
      </c>
      <c r="S10" s="8">
        <v>7.45</v>
      </c>
      <c r="T10" s="8">
        <v>10.99</v>
      </c>
      <c r="U10" s="8">
        <v>0.16</v>
      </c>
      <c r="V10" s="8">
        <v>13.19</v>
      </c>
      <c r="W10" s="8">
        <v>0.22</v>
      </c>
      <c r="X10" s="8">
        <v>1.49</v>
      </c>
      <c r="Y10" s="8">
        <v>0.06</v>
      </c>
      <c r="Z10" s="8">
        <v>38.630000000000003</v>
      </c>
      <c r="AA10" s="8">
        <v>0.67</v>
      </c>
      <c r="AB10" s="8">
        <v>12.96</v>
      </c>
      <c r="AC10" s="8">
        <f t="shared" si="18"/>
        <v>85.910000000000011</v>
      </c>
      <c r="AD10" s="8">
        <v>98.88</v>
      </c>
      <c r="AE10" s="4">
        <f>100/AC10</f>
        <v>1.1640088464672329</v>
      </c>
      <c r="AF10" s="4">
        <f>Z10*AE10</f>
        <v>44.965661739029208</v>
      </c>
      <c r="AG10" s="4">
        <f>AA10*AE10</f>
        <v>0.77988592713304605</v>
      </c>
      <c r="AH10" s="4">
        <f>R10*AE10</f>
        <v>15.19031544639739</v>
      </c>
      <c r="AI10" s="4">
        <f>AE10*V10</f>
        <v>15.353276684902802</v>
      </c>
      <c r="AJ10" s="4">
        <f>AE10*W10</f>
        <v>0.25608194622279123</v>
      </c>
      <c r="AK10" s="4">
        <f>AE10*T10</f>
        <v>12.792457222674891</v>
      </c>
      <c r="AL10" s="4">
        <f>AE10*S10</f>
        <v>8.6718659061808854</v>
      </c>
      <c r="AM10" s="4">
        <f>AE10*X10</f>
        <v>1.7343731812361771</v>
      </c>
      <c r="AN10" s="4">
        <f>AE10*U10</f>
        <v>0.18624141543475728</v>
      </c>
      <c r="AO10" s="4">
        <f t="shared" si="19"/>
        <v>6.9840530788033969E-2</v>
      </c>
      <c r="AP10" s="8">
        <v>65.3</v>
      </c>
      <c r="AQ10" s="8">
        <v>0.64</v>
      </c>
      <c r="AR10" s="8" t="s">
        <v>37</v>
      </c>
      <c r="AS10" s="8">
        <v>0.19700000000000001</v>
      </c>
      <c r="AT10" s="8">
        <v>7.06</v>
      </c>
      <c r="AU10" s="8">
        <v>78.88</v>
      </c>
      <c r="AV10" s="8">
        <v>923</v>
      </c>
      <c r="AW10" s="8">
        <v>9.407</v>
      </c>
      <c r="AX10" s="8">
        <v>190.5</v>
      </c>
      <c r="AY10" s="8">
        <v>2.839</v>
      </c>
      <c r="AZ10" s="8">
        <v>1.798</v>
      </c>
      <c r="BA10" s="8">
        <v>0.64600000000000002</v>
      </c>
      <c r="BB10" s="8">
        <v>13.16</v>
      </c>
      <c r="BC10" s="8">
        <v>2.2109999999999999</v>
      </c>
      <c r="BD10" s="8">
        <v>1.19</v>
      </c>
      <c r="BE10" s="8">
        <v>0.60699999999999998</v>
      </c>
      <c r="BF10" s="8">
        <v>5.0999999999999997E-2</v>
      </c>
      <c r="BG10" s="8">
        <v>3.04</v>
      </c>
      <c r="BH10" s="8">
        <v>79.400000000000006</v>
      </c>
      <c r="BI10" s="8">
        <v>0.26400000000000001</v>
      </c>
      <c r="BJ10" s="8">
        <v>0.18</v>
      </c>
      <c r="BK10" s="8">
        <v>2.3580000000000001</v>
      </c>
      <c r="BL10" s="8">
        <v>4.7300000000000004</v>
      </c>
      <c r="BM10" s="8">
        <v>584.70000000000005</v>
      </c>
      <c r="BN10" s="8">
        <v>2.6</v>
      </c>
      <c r="BO10" s="8">
        <v>0.98399999999999999</v>
      </c>
      <c r="BP10" s="8">
        <v>6.29</v>
      </c>
      <c r="BQ10" s="8">
        <v>0.1</v>
      </c>
      <c r="BR10" s="8">
        <v>40.9</v>
      </c>
      <c r="BS10" s="8">
        <v>1.6639999999999999</v>
      </c>
      <c r="BT10" s="8">
        <v>0.55000000000000004</v>
      </c>
      <c r="BU10" s="8">
        <v>130.1</v>
      </c>
      <c r="BV10" s="8">
        <v>0.159</v>
      </c>
      <c r="BW10" s="8">
        <v>0.41199999999999998</v>
      </c>
      <c r="BX10" s="8">
        <v>0.53100000000000003</v>
      </c>
      <c r="BY10" s="8">
        <v>4669</v>
      </c>
      <c r="BZ10" s="8">
        <v>5.2999999999999999E-2</v>
      </c>
      <c r="CA10" s="8">
        <v>0.27400000000000002</v>
      </c>
      <c r="CB10" s="8">
        <v>0.18099999999999999</v>
      </c>
      <c r="CC10" s="8">
        <v>246.9</v>
      </c>
      <c r="CD10" s="8">
        <v>13.24</v>
      </c>
      <c r="CE10" s="8">
        <v>16.350000000000001</v>
      </c>
      <c r="CF10" s="8">
        <v>1.8120000000000001</v>
      </c>
      <c r="CG10" s="8">
        <v>84</v>
      </c>
      <c r="CH10" s="8">
        <v>42</v>
      </c>
      <c r="CI10" s="4">
        <f>380*G10/N10</f>
        <v>0.7752</v>
      </c>
      <c r="CJ10" s="4">
        <f>AE10*AP10/6.6</f>
        <v>11.516632980956107</v>
      </c>
      <c r="CK10" s="4">
        <f>AE10*BX10/0.0795</f>
        <v>7.7747005971584988</v>
      </c>
      <c r="CL10" s="4">
        <f>AE10*BK10/0.658</f>
        <v>4.1713265349084123</v>
      </c>
      <c r="CM10" s="4">
        <f>AE10*BG10/0.648</f>
        <v>5.4607822426857835</v>
      </c>
      <c r="CN10" s="4">
        <f>AE10*AT10/1.675</f>
        <v>4.9062104215275602</v>
      </c>
      <c r="CO10" s="4">
        <f>AE10*BK10/1.25</f>
        <v>2.1957862879757881</v>
      </c>
      <c r="CP10" s="4">
        <f>AE10*BU10/19.9</f>
        <v>7.6099271821802521</v>
      </c>
      <c r="CQ10" s="4">
        <f>AE10*BS10/0.406</f>
        <v>4.7707160603977226</v>
      </c>
      <c r="CR10" s="4">
        <f>AE10*CH10/10.5</f>
        <v>4.6560353858689316</v>
      </c>
      <c r="CS10" s="4">
        <f>AE10*AG10/0.2</f>
        <v>4.538970592090827</v>
      </c>
      <c r="CT10" s="4">
        <f>AE10*BA10/0.154</f>
        <v>4.8827903559599513</v>
      </c>
      <c r="CU10" s="4">
        <f>AE10*BC10/0.544</f>
        <v>4.7309256609173742</v>
      </c>
      <c r="CV10" s="4">
        <f>AE10*AY10/0.674</f>
        <v>4.9029986871223645</v>
      </c>
      <c r="CW10" s="4">
        <f>AE10*AZ10/0.438</f>
        <v>4.7782828902924308</v>
      </c>
      <c r="CX10" s="4">
        <f>AE10*CF10/0.441</f>
        <v>4.7827302263007399</v>
      </c>
      <c r="CY10" s="8" t="s">
        <v>139</v>
      </c>
      <c r="CZ10" s="8" t="s">
        <v>77</v>
      </c>
      <c r="DB10" s="4">
        <f t="shared" si="13"/>
        <v>0.53652568131471845</v>
      </c>
      <c r="DC10" s="4">
        <f t="shared" si="14"/>
        <v>1.6255779082843931</v>
      </c>
      <c r="DD10" s="10">
        <f>1000*BM10/G10</f>
        <v>143308.82352941178</v>
      </c>
      <c r="DE10" s="10">
        <f>1000*AX10/F10</f>
        <v>865909.09090909094</v>
      </c>
      <c r="DF10" s="8">
        <v>0.22</v>
      </c>
      <c r="DG10" s="8">
        <v>4.08</v>
      </c>
      <c r="DH10" s="4">
        <f>K10*38/M10/10000</f>
        <v>3.6194999999999999</v>
      </c>
      <c r="DI10" s="4"/>
      <c r="DJ10" s="8">
        <v>2000</v>
      </c>
      <c r="DK10" s="4">
        <f t="shared" si="15"/>
        <v>1.2201986754966887</v>
      </c>
      <c r="DN10" s="4">
        <f t="shared" si="16"/>
        <v>1.1417709099828304</v>
      </c>
      <c r="DO10" s="102">
        <f>1000*AX10/G10</f>
        <v>46691.176470588238</v>
      </c>
      <c r="DP10" s="102">
        <f>G10/F10</f>
        <v>18.545454545454547</v>
      </c>
      <c r="DQ10" s="4">
        <f>BM10/K10</f>
        <v>3.0692913385826772</v>
      </c>
    </row>
    <row r="11" spans="1:121">
      <c r="A11" t="s">
        <v>224</v>
      </c>
      <c r="B11" t="s">
        <v>223</v>
      </c>
      <c r="C11">
        <v>171.5</v>
      </c>
      <c r="E11" s="50">
        <v>82</v>
      </c>
      <c r="F11" s="50"/>
      <c r="G11" s="51">
        <v>140.9</v>
      </c>
      <c r="H11" s="51">
        <v>100.6</v>
      </c>
      <c r="K11" s="80">
        <v>3268.9</v>
      </c>
      <c r="L11" s="3">
        <v>4.6566666666666672</v>
      </c>
      <c r="M11" s="52">
        <v>1.65</v>
      </c>
      <c r="N11" s="8">
        <f>10000*M11</f>
        <v>16500</v>
      </c>
      <c r="O11" s="52">
        <v>6.9</v>
      </c>
      <c r="P11" s="10">
        <f t="shared" si="17"/>
        <v>2391.304347826087</v>
      </c>
      <c r="Q11" s="51">
        <v>0.6</v>
      </c>
      <c r="R11" s="52">
        <v>12.97</v>
      </c>
      <c r="S11" s="52">
        <v>6.18</v>
      </c>
      <c r="T11" s="52">
        <v>13.42</v>
      </c>
      <c r="U11" s="52">
        <v>7.0000000000000007E-2</v>
      </c>
      <c r="V11" s="52">
        <v>13.02</v>
      </c>
      <c r="W11" s="52">
        <v>0.2</v>
      </c>
      <c r="X11" s="52">
        <v>1.42</v>
      </c>
      <c r="Y11" s="52">
        <v>0.04</v>
      </c>
      <c r="Z11" s="52">
        <v>41.49</v>
      </c>
      <c r="AA11" s="52">
        <v>0.76</v>
      </c>
      <c r="AB11" s="51">
        <v>9.1999999999999993</v>
      </c>
      <c r="AC11" s="51">
        <f t="shared" si="18"/>
        <v>89.570000000000007</v>
      </c>
      <c r="AD11" s="52">
        <v>99.34</v>
      </c>
      <c r="AE11" s="52">
        <f>100/AC11</f>
        <v>1.1164452383610584</v>
      </c>
      <c r="AF11" s="52">
        <f>Z11*AE11</f>
        <v>46.321312939600311</v>
      </c>
      <c r="AG11" s="52">
        <f>AE11*AA11</f>
        <v>0.84849838115440435</v>
      </c>
      <c r="AH11" s="52">
        <f>AE11*R11</f>
        <v>14.480294741542927</v>
      </c>
      <c r="AI11" s="52">
        <f>AE11*V11</f>
        <v>14.53611700346098</v>
      </c>
      <c r="AJ11" s="52">
        <f>AE11*W11</f>
        <v>0.22328904767221169</v>
      </c>
      <c r="AK11" s="52">
        <f>AE11*T11</f>
        <v>14.982695098805403</v>
      </c>
      <c r="AL11" s="52">
        <f>AE11*S11</f>
        <v>6.89963157307134</v>
      </c>
      <c r="AM11" s="52">
        <f>AE11*X11</f>
        <v>1.5853522384727028</v>
      </c>
      <c r="AN11" s="52">
        <f>AE11*U11</f>
        <v>7.8151166685274095E-2</v>
      </c>
      <c r="AO11" s="52">
        <f t="shared" si="19"/>
        <v>4.4657809534442337E-2</v>
      </c>
      <c r="AP11" s="50">
        <v>38</v>
      </c>
      <c r="AQ11" s="50" t="s">
        <v>205</v>
      </c>
      <c r="AR11" s="51">
        <v>0.5</v>
      </c>
      <c r="AS11" s="51">
        <v>0.3</v>
      </c>
      <c r="AT11" s="51">
        <v>9.9</v>
      </c>
      <c r="AU11" s="51">
        <v>136.69999999999999</v>
      </c>
      <c r="AV11" s="50">
        <v>771</v>
      </c>
      <c r="AW11" s="51">
        <v>9.8000000000000007</v>
      </c>
      <c r="AX11" s="51">
        <v>269</v>
      </c>
      <c r="AY11" s="52">
        <v>3.16</v>
      </c>
      <c r="AZ11" s="3">
        <v>1.83</v>
      </c>
      <c r="BA11" s="52">
        <v>0.68</v>
      </c>
      <c r="BB11" s="51">
        <v>12</v>
      </c>
      <c r="BC11" s="52">
        <v>2.6</v>
      </c>
      <c r="BD11" s="51">
        <v>1.7</v>
      </c>
      <c r="BE11" s="52">
        <v>0.02</v>
      </c>
      <c r="BG11" s="51">
        <v>4.9000000000000004</v>
      </c>
      <c r="BI11" s="52">
        <v>0.28999999999999998</v>
      </c>
      <c r="BJ11" s="51">
        <v>0.1</v>
      </c>
      <c r="BK11" s="60">
        <v>2.5</v>
      </c>
      <c r="BL11" s="51">
        <v>6.6</v>
      </c>
      <c r="BM11" s="50">
        <v>3308</v>
      </c>
      <c r="BN11" s="51">
        <v>12.4</v>
      </c>
      <c r="BO11" s="52">
        <v>1.3</v>
      </c>
      <c r="BP11" s="51">
        <v>3.7</v>
      </c>
      <c r="BQ11" s="51" t="s">
        <v>206</v>
      </c>
      <c r="BR11" s="50">
        <v>33</v>
      </c>
      <c r="BS11" s="52">
        <v>1.94</v>
      </c>
      <c r="BT11" s="50" t="s">
        <v>205</v>
      </c>
      <c r="BU11" s="51">
        <v>104.1</v>
      </c>
      <c r="BV11" s="51">
        <v>0.2</v>
      </c>
      <c r="BW11" s="52">
        <v>0.51</v>
      </c>
      <c r="BX11" s="51">
        <v>0.9</v>
      </c>
      <c r="BY11" s="53"/>
      <c r="BZ11" s="53"/>
      <c r="CA11" s="52">
        <v>0.28999999999999998</v>
      </c>
      <c r="CB11" s="51">
        <v>0.3</v>
      </c>
      <c r="CC11" s="50">
        <v>237</v>
      </c>
      <c r="CD11" s="51" t="s">
        <v>207</v>
      </c>
      <c r="CE11" s="51">
        <v>19.2</v>
      </c>
      <c r="CF11" s="52">
        <v>1.88</v>
      </c>
      <c r="CG11" s="50">
        <v>73</v>
      </c>
      <c r="CH11" s="51">
        <v>46.7</v>
      </c>
      <c r="CI11" s="53"/>
      <c r="CJ11" s="53"/>
      <c r="CK11" s="53">
        <v>0.11600000000000001</v>
      </c>
      <c r="CP11" s="51">
        <v>1</v>
      </c>
      <c r="CQ11" s="51">
        <v>18.600000000000001</v>
      </c>
      <c r="CR11" s="51">
        <v>93</v>
      </c>
      <c r="CS11" s="51">
        <v>0.5</v>
      </c>
      <c r="CT11" s="50">
        <v>65</v>
      </c>
      <c r="CU11" s="50">
        <v>210</v>
      </c>
      <c r="CX11" s="50">
        <v>5</v>
      </c>
      <c r="CY11" s="53">
        <v>0.14399999999999999</v>
      </c>
      <c r="CZ11" s="54" t="s">
        <v>208</v>
      </c>
      <c r="DA11" s="51" t="s">
        <v>206</v>
      </c>
      <c r="DB11" s="52">
        <v>0.02</v>
      </c>
      <c r="DC11" s="51">
        <v>28.1</v>
      </c>
      <c r="DD11" s="51" t="s">
        <v>206</v>
      </c>
      <c r="DE11" s="50"/>
      <c r="DF11" s="48" t="s">
        <v>213</v>
      </c>
      <c r="DG11" s="52"/>
      <c r="DH11" s="4">
        <f>K11*38/M11/10000</f>
        <v>7.5283757575757582</v>
      </c>
      <c r="DI11" s="48" t="s">
        <v>213</v>
      </c>
      <c r="DJ11" s="48" t="s">
        <v>213</v>
      </c>
      <c r="DK11" s="4">
        <f t="shared" si="15"/>
        <v>1.3829787234042554</v>
      </c>
      <c r="DL11" s="1">
        <v>2072.463768115942</v>
      </c>
      <c r="DN11" s="4">
        <f t="shared" si="16"/>
        <v>0</v>
      </c>
      <c r="DO11" s="102"/>
      <c r="DP11" s="102"/>
      <c r="DQ11" s="4">
        <f>BM11/K11</f>
        <v>1.0119612101930313</v>
      </c>
    </row>
    <row r="12" spans="1:121" s="110" customFormat="1">
      <c r="B12" s="110" t="s">
        <v>51</v>
      </c>
      <c r="C12" s="110">
        <v>174.25</v>
      </c>
      <c r="D12" s="110" t="s">
        <v>77</v>
      </c>
      <c r="E12" s="110">
        <v>459</v>
      </c>
      <c r="F12" s="110">
        <v>239</v>
      </c>
      <c r="G12" s="110">
        <v>582</v>
      </c>
      <c r="H12" s="110">
        <v>610</v>
      </c>
      <c r="I12" s="110">
        <v>112</v>
      </c>
      <c r="J12" s="110">
        <v>468</v>
      </c>
      <c r="K12" s="110">
        <v>40000</v>
      </c>
      <c r="L12" s="110">
        <v>0.69</v>
      </c>
      <c r="M12" s="110">
        <v>39.200000000000003</v>
      </c>
      <c r="N12" s="110">
        <f>10000*M12</f>
        <v>392000</v>
      </c>
      <c r="O12" s="111">
        <v>141.4</v>
      </c>
      <c r="P12" s="112">
        <f t="shared" si="17"/>
        <v>2772.2772277227723</v>
      </c>
      <c r="Q12" s="110">
        <v>4.84</v>
      </c>
      <c r="R12" s="110">
        <v>0.03</v>
      </c>
      <c r="S12" s="110">
        <v>0.03</v>
      </c>
      <c r="T12" s="110">
        <v>58.13</v>
      </c>
      <c r="U12" s="110">
        <v>0.01</v>
      </c>
      <c r="V12" s="110">
        <v>7.0000000000000007E-2</v>
      </c>
      <c r="W12" s="110">
        <v>0.04</v>
      </c>
      <c r="X12" s="113">
        <v>0.01</v>
      </c>
      <c r="Y12" s="113">
        <v>0.01</v>
      </c>
      <c r="Z12" s="110">
        <v>0.74</v>
      </c>
      <c r="AA12" s="110">
        <v>0.03</v>
      </c>
      <c r="AB12" s="110">
        <v>23.97</v>
      </c>
      <c r="AC12" s="110">
        <f t="shared" si="18"/>
        <v>59.1</v>
      </c>
      <c r="AD12" s="110">
        <v>82.96</v>
      </c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>
        <f t="shared" si="19"/>
        <v>0</v>
      </c>
      <c r="AX12" s="110">
        <v>40000</v>
      </c>
      <c r="BM12" s="110">
        <v>10800</v>
      </c>
      <c r="CI12" s="111">
        <f>380*G12/N12</f>
        <v>0.5641836734693878</v>
      </c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Z12" s="110" t="s">
        <v>77</v>
      </c>
      <c r="DB12" s="111"/>
      <c r="DC12" s="111"/>
      <c r="DD12" s="112">
        <f>1000*BM12/G12</f>
        <v>18556.701030927834</v>
      </c>
      <c r="DE12" s="112">
        <f>1000*AX12/F12</f>
        <v>167364.01673640168</v>
      </c>
      <c r="DF12" s="110">
        <v>239</v>
      </c>
      <c r="DG12" s="110">
        <v>582</v>
      </c>
      <c r="DH12" s="111">
        <f>K12*38/M12/10000</f>
        <v>3.8775510204081627</v>
      </c>
      <c r="DI12" s="111">
        <f>DG12*38/M12</f>
        <v>564.18367346938771</v>
      </c>
      <c r="DJ12" s="110">
        <v>392000</v>
      </c>
      <c r="DK12" s="111" t="e">
        <f t="shared" si="15"/>
        <v>#DIV/0!</v>
      </c>
      <c r="DL12" s="111">
        <f>AVERAGE(DH12:DH15)</f>
        <v>3.62949769674678</v>
      </c>
      <c r="DM12" s="111">
        <f>AVERAGE(DI12:DI15)</f>
        <v>750.1267501334811</v>
      </c>
      <c r="DN12" s="111" t="e">
        <f t="shared" si="16"/>
        <v>#DIV/0!</v>
      </c>
      <c r="DO12" s="114">
        <f>1000*AX12/G12</f>
        <v>68728.522336769762</v>
      </c>
      <c r="DP12" s="114">
        <f>G12/F12</f>
        <v>2.4351464435146442</v>
      </c>
      <c r="DQ12" s="111">
        <f>BM12/K12</f>
        <v>0.27</v>
      </c>
    </row>
    <row r="13" spans="1:121" s="110" customFormat="1">
      <c r="B13" s="110" t="s">
        <v>51</v>
      </c>
      <c r="C13" s="110">
        <v>174.4</v>
      </c>
      <c r="D13" s="110" t="s">
        <v>77</v>
      </c>
      <c r="E13" s="110">
        <v>242</v>
      </c>
      <c r="F13" s="110">
        <v>70.900000000000006</v>
      </c>
      <c r="G13" s="110">
        <v>593</v>
      </c>
      <c r="H13" s="110">
        <v>961</v>
      </c>
      <c r="I13" s="110">
        <v>47.5</v>
      </c>
      <c r="J13" s="110">
        <v>104</v>
      </c>
      <c r="K13" s="110">
        <v>37000</v>
      </c>
      <c r="L13" s="110">
        <v>3.64</v>
      </c>
      <c r="M13" s="110">
        <v>35.299999999999997</v>
      </c>
      <c r="N13" s="110">
        <f>10000*M13</f>
        <v>353000</v>
      </c>
      <c r="O13" s="111">
        <v>145.5</v>
      </c>
      <c r="P13" s="112">
        <f t="shared" si="17"/>
        <v>2426.1168384879725</v>
      </c>
      <c r="Q13" s="110">
        <v>6.03</v>
      </c>
      <c r="R13" s="110">
        <v>0.03</v>
      </c>
      <c r="S13" s="110">
        <v>0.06</v>
      </c>
      <c r="T13" s="110">
        <v>62.1</v>
      </c>
      <c r="U13" s="110">
        <v>0.01</v>
      </c>
      <c r="V13" s="110">
        <v>0.26</v>
      </c>
      <c r="W13" s="110">
        <v>0.17</v>
      </c>
      <c r="X13" s="110">
        <v>0.02</v>
      </c>
      <c r="Y13" s="113">
        <v>0.01</v>
      </c>
      <c r="Z13" s="110">
        <v>0.42</v>
      </c>
      <c r="AA13" s="110">
        <v>0.01</v>
      </c>
      <c r="AB13" s="110">
        <v>19.3</v>
      </c>
      <c r="AC13" s="110">
        <f t="shared" si="18"/>
        <v>63.09</v>
      </c>
      <c r="AD13" s="110">
        <v>82.39</v>
      </c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>
        <f t="shared" si="19"/>
        <v>0</v>
      </c>
      <c r="AX13" s="110">
        <v>37000</v>
      </c>
      <c r="BL13" s="110">
        <f>AVERAGE(BM12:BM16)</f>
        <v>55000</v>
      </c>
      <c r="BM13" s="110">
        <v>10800</v>
      </c>
      <c r="CI13" s="111">
        <f>380*G13/N13</f>
        <v>0.63835694050991498</v>
      </c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Z13" s="110" t="s">
        <v>77</v>
      </c>
      <c r="DB13" s="111"/>
      <c r="DC13" s="111"/>
      <c r="DD13" s="112"/>
      <c r="DE13" s="112"/>
      <c r="DF13" s="110">
        <v>70.900000000000006</v>
      </c>
      <c r="DG13" s="110">
        <v>593</v>
      </c>
      <c r="DH13" s="111">
        <f>K13*38/M13/10000</f>
        <v>3.9830028328611902</v>
      </c>
      <c r="DI13" s="111">
        <f>DG13*38/M13</f>
        <v>638.35694050991503</v>
      </c>
      <c r="DJ13" s="110">
        <v>353000</v>
      </c>
      <c r="DK13" s="111" t="e">
        <f t="shared" si="15"/>
        <v>#DIV/0!</v>
      </c>
      <c r="DN13" s="111" t="e">
        <f t="shared" si="16"/>
        <v>#DIV/0!</v>
      </c>
      <c r="DO13" s="114">
        <f>1000*AX13/G13</f>
        <v>62394.603709949413</v>
      </c>
      <c r="DP13" s="114">
        <f>G13/F13</f>
        <v>8.3638928067700977</v>
      </c>
      <c r="DQ13" s="111">
        <f>BM13/K13</f>
        <v>0.29189189189189191</v>
      </c>
    </row>
    <row r="14" spans="1:121" s="110" customFormat="1">
      <c r="A14" s="110" t="s">
        <v>225</v>
      </c>
      <c r="B14" s="110" t="s">
        <v>223</v>
      </c>
      <c r="C14" s="110">
        <v>174.44</v>
      </c>
      <c r="E14" s="115">
        <v>436</v>
      </c>
      <c r="F14" s="115"/>
      <c r="G14" s="116">
        <v>3323</v>
      </c>
      <c r="H14" s="116">
        <v>1022</v>
      </c>
      <c r="K14" s="115">
        <v>24400</v>
      </c>
      <c r="L14" s="111">
        <v>1.43</v>
      </c>
      <c r="M14" s="117">
        <v>34.1</v>
      </c>
      <c r="N14" s="110">
        <f t="shared" ref="N14:N16" si="20">10000*M14</f>
        <v>341000</v>
      </c>
      <c r="O14" s="117">
        <v>168.7</v>
      </c>
      <c r="P14" s="112">
        <f t="shared" si="17"/>
        <v>2021.339656194428</v>
      </c>
      <c r="Q14" s="116">
        <v>17.8</v>
      </c>
      <c r="R14" s="117">
        <v>0.06</v>
      </c>
      <c r="S14" s="117">
        <v>0.03</v>
      </c>
      <c r="T14" s="117">
        <v>54.3</v>
      </c>
      <c r="U14" s="117" t="s">
        <v>159</v>
      </c>
      <c r="V14" s="117">
        <v>0.06</v>
      </c>
      <c r="W14" s="117">
        <v>7.0000000000000007E-2</v>
      </c>
      <c r="X14" s="117" t="s">
        <v>159</v>
      </c>
      <c r="Y14" s="117" t="s">
        <v>159</v>
      </c>
      <c r="Z14" s="117">
        <v>2.17</v>
      </c>
      <c r="AA14" s="117">
        <v>0.02</v>
      </c>
      <c r="AB14" s="116">
        <v>19.7</v>
      </c>
      <c r="AC14" s="116">
        <f t="shared" si="18"/>
        <v>56.710000000000008</v>
      </c>
      <c r="AD14" s="117">
        <v>88.4</v>
      </c>
      <c r="AE14" s="117">
        <f>100/AC14</f>
        <v>1.763357432551578</v>
      </c>
      <c r="AF14" s="117">
        <f>Z14*AE14</f>
        <v>3.8264856286369242</v>
      </c>
      <c r="AG14" s="117">
        <f>AE14*AA14</f>
        <v>3.526714865103156E-2</v>
      </c>
      <c r="AH14" s="117">
        <f>AE14*R14</f>
        <v>0.10580144595309467</v>
      </c>
      <c r="AI14" s="117">
        <f>AE14*V14</f>
        <v>0.10580144595309467</v>
      </c>
      <c r="AJ14" s="117">
        <f>AE14*W14</f>
        <v>0.12343502027861047</v>
      </c>
      <c r="AK14" s="117">
        <f>AE14*T14</f>
        <v>95.750308587550677</v>
      </c>
      <c r="AL14" s="117">
        <f>AE14*S14</f>
        <v>5.2900722976547333E-2</v>
      </c>
      <c r="AM14" s="117" t="e">
        <f>AE14*X14</f>
        <v>#VALUE!</v>
      </c>
      <c r="AN14" s="117" t="e">
        <f>AE14*U14</f>
        <v>#VALUE!</v>
      </c>
      <c r="AO14" s="117" t="e">
        <f t="shared" si="19"/>
        <v>#VALUE!</v>
      </c>
      <c r="AP14" s="115" t="s">
        <v>205</v>
      </c>
      <c r="AQ14" s="115" t="s">
        <v>205</v>
      </c>
      <c r="AR14" s="116">
        <v>3.7</v>
      </c>
      <c r="AS14" s="116">
        <v>3.3</v>
      </c>
      <c r="AT14" s="116">
        <v>1</v>
      </c>
      <c r="AU14" s="116">
        <v>1385.7</v>
      </c>
      <c r="AV14" s="115">
        <v>27</v>
      </c>
      <c r="AW14" s="116">
        <v>4.4000000000000004</v>
      </c>
      <c r="AX14" s="116">
        <v>24400</v>
      </c>
      <c r="AY14" s="117">
        <v>0.1</v>
      </c>
      <c r="AZ14" s="111">
        <v>7.0000000000000007E-2</v>
      </c>
      <c r="BA14" s="117">
        <v>0.04</v>
      </c>
      <c r="BB14" s="116" t="s">
        <v>207</v>
      </c>
      <c r="BC14" s="117">
        <v>0.14000000000000001</v>
      </c>
      <c r="BD14" s="116" t="s">
        <v>206</v>
      </c>
      <c r="BE14" s="117">
        <v>7.0000000000000007E-2</v>
      </c>
      <c r="BG14" s="116">
        <v>4.3</v>
      </c>
      <c r="BI14" s="117" t="s">
        <v>159</v>
      </c>
      <c r="BJ14" s="116">
        <v>3.3</v>
      </c>
      <c r="BK14" s="114" t="s">
        <v>206</v>
      </c>
      <c r="BL14" s="116">
        <v>0.4</v>
      </c>
      <c r="BM14" s="115">
        <v>144700</v>
      </c>
      <c r="BN14" s="116">
        <v>30.2</v>
      </c>
      <c r="BO14" s="117">
        <v>0.08</v>
      </c>
      <c r="BP14" s="116">
        <v>0.8</v>
      </c>
      <c r="BQ14" s="116">
        <v>0.7</v>
      </c>
      <c r="BR14" s="115" t="s">
        <v>205</v>
      </c>
      <c r="BS14" s="117">
        <v>0.08</v>
      </c>
      <c r="BT14" s="115">
        <v>1</v>
      </c>
      <c r="BU14" s="116">
        <v>0.6</v>
      </c>
      <c r="BV14" s="116" t="s">
        <v>206</v>
      </c>
      <c r="BW14" s="117">
        <v>0.02</v>
      </c>
      <c r="BX14" s="116" t="s">
        <v>211</v>
      </c>
      <c r="BY14" s="118"/>
      <c r="BZ14" s="118"/>
      <c r="CA14" s="117" t="s">
        <v>159</v>
      </c>
      <c r="CB14" s="116" t="s">
        <v>206</v>
      </c>
      <c r="CC14" s="115">
        <v>95</v>
      </c>
      <c r="CD14" s="116" t="s">
        <v>207</v>
      </c>
      <c r="CE14" s="116">
        <v>1.1000000000000001</v>
      </c>
      <c r="CF14" s="117" t="s">
        <v>226</v>
      </c>
      <c r="CG14" s="115">
        <v>121</v>
      </c>
      <c r="CH14" s="116">
        <v>0.5</v>
      </c>
      <c r="CI14" s="118"/>
      <c r="CJ14" s="118"/>
      <c r="CK14" s="118">
        <v>0.02</v>
      </c>
      <c r="CP14" s="116">
        <v>11.2</v>
      </c>
      <c r="CQ14" s="116">
        <v>10.3</v>
      </c>
      <c r="CR14" s="116">
        <v>253.4</v>
      </c>
      <c r="CS14" s="116" t="s">
        <v>206</v>
      </c>
      <c r="CT14" s="115" t="s">
        <v>205</v>
      </c>
      <c r="CU14" s="115">
        <v>55</v>
      </c>
      <c r="CX14" s="115">
        <v>2</v>
      </c>
      <c r="CY14" s="118">
        <v>1E-3</v>
      </c>
      <c r="CZ14" s="119" t="s">
        <v>208</v>
      </c>
      <c r="DA14" s="116" t="s">
        <v>206</v>
      </c>
      <c r="DB14" s="117">
        <v>0.16</v>
      </c>
      <c r="DC14" s="116"/>
      <c r="DD14" s="116">
        <v>4.5999999999999996</v>
      </c>
      <c r="DF14" s="117">
        <v>14.47</v>
      </c>
      <c r="DG14" s="117"/>
      <c r="DH14" s="111">
        <f>K14*38/M14/10000</f>
        <v>2.7190615835777123</v>
      </c>
      <c r="DI14" s="115">
        <v>1022</v>
      </c>
      <c r="DJ14" s="115">
        <v>3323</v>
      </c>
      <c r="DK14" s="111" t="e">
        <f t="shared" si="15"/>
        <v>#VALUE!</v>
      </c>
      <c r="DL14" s="112"/>
      <c r="DN14" s="111">
        <f t="shared" si="16"/>
        <v>0</v>
      </c>
      <c r="DO14" s="114">
        <f>1000*AX14/G14</f>
        <v>7342.7625639482394</v>
      </c>
      <c r="DP14" s="114"/>
      <c r="DQ14" s="111">
        <f>BM14/K14</f>
        <v>5.9303278688524594</v>
      </c>
    </row>
    <row r="15" spans="1:121" s="110" customFormat="1">
      <c r="B15" s="110" t="s">
        <v>51</v>
      </c>
      <c r="C15" s="110">
        <v>174.5</v>
      </c>
      <c r="D15" s="110" t="s">
        <v>77</v>
      </c>
      <c r="E15" s="110">
        <v>241</v>
      </c>
      <c r="F15" s="110">
        <v>68.599999999999994</v>
      </c>
      <c r="G15" s="110">
        <v>729</v>
      </c>
      <c r="H15" s="110">
        <v>730</v>
      </c>
      <c r="I15" s="110">
        <v>46.2</v>
      </c>
      <c r="J15" s="110">
        <v>102</v>
      </c>
      <c r="K15" s="110">
        <v>37000</v>
      </c>
      <c r="L15" s="110">
        <v>4.24</v>
      </c>
      <c r="M15" s="110">
        <v>35.700000000000003</v>
      </c>
      <c r="N15" s="110">
        <f t="shared" si="20"/>
        <v>357000</v>
      </c>
      <c r="O15" s="111">
        <v>142.6</v>
      </c>
      <c r="P15" s="112">
        <f t="shared" si="17"/>
        <v>2503.5063113604488</v>
      </c>
      <c r="Q15" s="110">
        <v>5.07</v>
      </c>
      <c r="R15" s="110">
        <v>0.05</v>
      </c>
      <c r="S15" s="110">
        <v>0.08</v>
      </c>
      <c r="T15" s="110">
        <v>60.64</v>
      </c>
      <c r="U15" s="110">
        <v>0.01</v>
      </c>
      <c r="V15" s="110">
        <v>0.19</v>
      </c>
      <c r="W15" s="110">
        <v>0.22</v>
      </c>
      <c r="X15" s="113">
        <v>0.01</v>
      </c>
      <c r="Y15" s="113">
        <v>0.01</v>
      </c>
      <c r="Z15" s="110">
        <v>0.27</v>
      </c>
      <c r="AA15" s="110">
        <v>0.01</v>
      </c>
      <c r="AB15" s="110">
        <v>18.95</v>
      </c>
      <c r="AC15" s="110">
        <f t="shared" si="18"/>
        <v>61.489999999999995</v>
      </c>
      <c r="AD15" s="110">
        <v>80.33</v>
      </c>
      <c r="AE15" s="111"/>
      <c r="AF15" s="111"/>
      <c r="AG15" s="117"/>
      <c r="AH15" s="111"/>
      <c r="AI15" s="111"/>
      <c r="AJ15" s="111"/>
      <c r="AK15" s="111"/>
      <c r="AL15" s="111"/>
      <c r="AM15" s="111"/>
      <c r="AN15" s="111"/>
      <c r="AO15" s="111">
        <f t="shared" si="19"/>
        <v>0</v>
      </c>
      <c r="AX15" s="110">
        <v>37000</v>
      </c>
      <c r="BM15" s="110">
        <v>10800</v>
      </c>
      <c r="CI15" s="111">
        <f>380*G15/N15</f>
        <v>0.7759663865546218</v>
      </c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Z15" s="110" t="s">
        <v>77</v>
      </c>
      <c r="DB15" s="111"/>
      <c r="DC15" s="111"/>
      <c r="DD15" s="112"/>
      <c r="DE15" s="112"/>
      <c r="DF15" s="110">
        <v>68.599999999999994</v>
      </c>
      <c r="DG15" s="110">
        <v>729</v>
      </c>
      <c r="DH15" s="111">
        <f>K15*38/M15/10000</f>
        <v>3.9383753501400554</v>
      </c>
      <c r="DI15" s="111">
        <f>DG15*38/M15</f>
        <v>775.96638655462175</v>
      </c>
      <c r="DJ15" s="110">
        <v>357000</v>
      </c>
      <c r="DK15" s="111" t="e">
        <f t="shared" si="15"/>
        <v>#DIV/0!</v>
      </c>
      <c r="DN15" s="111" t="e">
        <f t="shared" si="16"/>
        <v>#DIV/0!</v>
      </c>
      <c r="DO15" s="114">
        <f>1000*AX15/G15</f>
        <v>50754.458161865572</v>
      </c>
      <c r="DP15" s="114">
        <f>G15/F15</f>
        <v>10.626822157434404</v>
      </c>
      <c r="DQ15" s="111">
        <f>BM15/K15</f>
        <v>0.29189189189189191</v>
      </c>
    </row>
    <row r="16" spans="1:121" s="110" customFormat="1">
      <c r="A16" s="110" t="s">
        <v>227</v>
      </c>
      <c r="B16" s="110" t="s">
        <v>223</v>
      </c>
      <c r="C16" s="110">
        <v>174.52</v>
      </c>
      <c r="E16" s="115">
        <v>376</v>
      </c>
      <c r="F16" s="115"/>
      <c r="G16" s="116">
        <v>710.1</v>
      </c>
      <c r="H16" s="116">
        <v>881.4</v>
      </c>
      <c r="K16" s="115">
        <v>37300</v>
      </c>
      <c r="L16" s="111">
        <v>3.8866666666666667</v>
      </c>
      <c r="M16" s="117">
        <v>32.9</v>
      </c>
      <c r="N16" s="110">
        <f t="shared" si="20"/>
        <v>329000</v>
      </c>
      <c r="O16" s="117">
        <v>168.2</v>
      </c>
      <c r="P16" s="112">
        <f t="shared" si="17"/>
        <v>1956.0047562425684</v>
      </c>
      <c r="Q16" s="116">
        <v>9.1</v>
      </c>
      <c r="R16" s="117">
        <v>0.05</v>
      </c>
      <c r="S16" s="117">
        <v>0.06</v>
      </c>
      <c r="T16" s="117">
        <v>28.78</v>
      </c>
      <c r="U16" s="117" t="s">
        <v>159</v>
      </c>
      <c r="V16" s="117">
        <v>7.0000000000000007E-2</v>
      </c>
      <c r="W16" s="117">
        <v>0.12</v>
      </c>
      <c r="X16" s="117" t="s">
        <v>159</v>
      </c>
      <c r="Y16" s="117">
        <v>0.01</v>
      </c>
      <c r="Z16" s="117">
        <v>0.94</v>
      </c>
      <c r="AA16" s="117" t="s">
        <v>159</v>
      </c>
      <c r="AB16" s="116">
        <v>22.6</v>
      </c>
      <c r="AC16" s="116">
        <f t="shared" si="18"/>
        <v>30.030000000000005</v>
      </c>
      <c r="AD16" s="117">
        <v>57</v>
      </c>
      <c r="AE16" s="117">
        <f>100/AC16</f>
        <v>3.3300033300033296</v>
      </c>
      <c r="AF16" s="117">
        <f>Z16*AE16</f>
        <v>3.1302031302031295</v>
      </c>
      <c r="AG16" s="117"/>
      <c r="AH16" s="117">
        <f>AE16*R16</f>
        <v>0.1665001665001665</v>
      </c>
      <c r="AI16" s="117">
        <f>AE16*V16</f>
        <v>0.23310023310023309</v>
      </c>
      <c r="AJ16" s="117">
        <f>AE16*W16</f>
        <v>0.39960039960039956</v>
      </c>
      <c r="AK16" s="117">
        <f>AE16*T16</f>
        <v>95.837495837495823</v>
      </c>
      <c r="AL16" s="117">
        <f>AE16*S16</f>
        <v>0.19980019980019978</v>
      </c>
      <c r="AM16" s="117" t="e">
        <f>AE16*X16</f>
        <v>#VALUE!</v>
      </c>
      <c r="AN16" s="117" t="e">
        <f>AE16*U16</f>
        <v>#VALUE!</v>
      </c>
      <c r="AO16" s="117">
        <f t="shared" si="19"/>
        <v>3.3300033300033297E-2</v>
      </c>
      <c r="AP16" s="115">
        <v>1</v>
      </c>
      <c r="AQ16" s="115">
        <v>3</v>
      </c>
      <c r="AR16" s="116">
        <v>2.4</v>
      </c>
      <c r="AS16" s="116">
        <v>2.6</v>
      </c>
      <c r="AT16" s="116">
        <v>3.3</v>
      </c>
      <c r="AU16" s="116">
        <v>898.3</v>
      </c>
      <c r="AV16" s="115">
        <v>10</v>
      </c>
      <c r="AW16" s="116">
        <v>4.9000000000000004</v>
      </c>
      <c r="AX16" s="116">
        <v>37300</v>
      </c>
      <c r="AY16" s="117">
        <v>0.43</v>
      </c>
      <c r="AZ16" s="111">
        <v>0.15</v>
      </c>
      <c r="BA16" s="117">
        <v>0.16</v>
      </c>
      <c r="BB16" s="116" t="s">
        <v>207</v>
      </c>
      <c r="BC16" s="117">
        <v>0.37</v>
      </c>
      <c r="BD16" s="116" t="s">
        <v>206</v>
      </c>
      <c r="BE16" s="117">
        <v>0.49</v>
      </c>
      <c r="BG16" s="116">
        <v>0.8</v>
      </c>
      <c r="BI16" s="117">
        <v>0.01</v>
      </c>
      <c r="BJ16" s="116">
        <v>4.9000000000000004</v>
      </c>
      <c r="BK16" s="114">
        <v>0.3</v>
      </c>
      <c r="BL16" s="116">
        <v>1.4</v>
      </c>
      <c r="BM16" s="115">
        <v>97899.999999999985</v>
      </c>
      <c r="BN16" s="116">
        <v>45.8</v>
      </c>
      <c r="BO16" s="117">
        <v>0.32</v>
      </c>
      <c r="BP16" s="116">
        <v>1</v>
      </c>
      <c r="BQ16" s="116">
        <v>1.3</v>
      </c>
      <c r="BR16" s="115" t="s">
        <v>205</v>
      </c>
      <c r="BS16" s="117">
        <v>0.33</v>
      </c>
      <c r="BT16" s="115" t="s">
        <v>205</v>
      </c>
      <c r="BU16" s="116">
        <v>1.1000000000000001</v>
      </c>
      <c r="BV16" s="116" t="s">
        <v>206</v>
      </c>
      <c r="BW16" s="117">
        <v>0.05</v>
      </c>
      <c r="BX16" s="116" t="s">
        <v>211</v>
      </c>
      <c r="BY16" s="118"/>
      <c r="BZ16" s="118"/>
      <c r="CA16" s="117">
        <v>0.03</v>
      </c>
      <c r="CB16" s="116" t="s">
        <v>206</v>
      </c>
      <c r="CC16" s="115">
        <v>23</v>
      </c>
      <c r="CD16" s="116" t="s">
        <v>207</v>
      </c>
      <c r="CE16" s="116">
        <v>2.8</v>
      </c>
      <c r="CF16" s="117">
        <v>0.11</v>
      </c>
      <c r="CG16" s="115">
        <v>118</v>
      </c>
      <c r="CH16" s="116">
        <v>1.1000000000000001</v>
      </c>
      <c r="CI16" s="118"/>
      <c r="CJ16" s="118"/>
      <c r="CK16" s="118">
        <v>2E-3</v>
      </c>
      <c r="CP16" s="116">
        <v>12.2</v>
      </c>
      <c r="CQ16" s="116">
        <v>19.8</v>
      </c>
      <c r="CR16" s="116">
        <v>361.6</v>
      </c>
      <c r="CS16" s="116" t="s">
        <v>206</v>
      </c>
      <c r="CT16" s="115" t="s">
        <v>205</v>
      </c>
      <c r="CU16" s="115">
        <v>42</v>
      </c>
      <c r="CX16" s="115">
        <v>2</v>
      </c>
      <c r="CY16" s="118" t="s">
        <v>212</v>
      </c>
      <c r="CZ16" s="119" t="s">
        <v>208</v>
      </c>
      <c r="DA16" s="116" t="s">
        <v>206</v>
      </c>
      <c r="DB16" s="117">
        <v>0.22</v>
      </c>
      <c r="DC16" s="116"/>
      <c r="DD16" s="116">
        <v>5</v>
      </c>
      <c r="DF16" s="117">
        <v>9.7899999999999991</v>
      </c>
      <c r="DG16" s="117"/>
      <c r="DH16" s="111">
        <f>K16*38/M16/10000</f>
        <v>4.3082066869300917</v>
      </c>
      <c r="DI16" s="120" t="s">
        <v>213</v>
      </c>
      <c r="DJ16" s="120" t="s">
        <v>213</v>
      </c>
      <c r="DK16" s="111">
        <f t="shared" si="15"/>
        <v>3.3636363636363638</v>
      </c>
      <c r="DL16" s="112"/>
      <c r="DN16" s="111">
        <f t="shared" si="16"/>
        <v>0</v>
      </c>
      <c r="DO16" s="114">
        <f>1000*AX16/G16</f>
        <v>52527.812984086748</v>
      </c>
      <c r="DP16" s="114"/>
      <c r="DQ16" s="111">
        <f>BM16/K16</f>
        <v>2.6246648793565681</v>
      </c>
    </row>
    <row r="17" spans="1:121" s="8" customFormat="1">
      <c r="O17" s="4"/>
      <c r="P17" s="10"/>
      <c r="X17" s="9"/>
      <c r="Y17" s="9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DB17" s="4"/>
      <c r="DC17" s="4"/>
      <c r="DD17" s="10"/>
      <c r="DE17" s="10"/>
      <c r="DH17" s="4"/>
      <c r="DI17" s="4"/>
      <c r="DK17" s="4" t="e">
        <f t="shared" si="15"/>
        <v>#DIV/0!</v>
      </c>
      <c r="DN17" s="4" t="e">
        <f t="shared" si="16"/>
        <v>#DIV/0!</v>
      </c>
      <c r="DO17" s="102"/>
      <c r="DP17" s="102"/>
      <c r="DQ17" s="4" t="e">
        <f>BM17/K17</f>
        <v>#DIV/0!</v>
      </c>
    </row>
    <row r="18" spans="1:121" s="45" customFormat="1">
      <c r="A18" s="45" t="s">
        <v>141</v>
      </c>
      <c r="B18" s="45" t="s">
        <v>53</v>
      </c>
      <c r="C18" s="45">
        <v>123.55</v>
      </c>
      <c r="D18" s="45" t="s">
        <v>72</v>
      </c>
      <c r="E18" s="45">
        <v>0.62</v>
      </c>
      <c r="F18" s="45">
        <v>0.11</v>
      </c>
      <c r="G18" s="45">
        <v>1.08</v>
      </c>
      <c r="H18" s="45">
        <v>1.1299999999999999</v>
      </c>
      <c r="I18" s="45">
        <v>0.1</v>
      </c>
      <c r="J18" s="45">
        <v>0.12</v>
      </c>
      <c r="K18" s="45">
        <v>9.8000000000000007</v>
      </c>
      <c r="L18" s="45">
        <v>1.1000000000000001</v>
      </c>
      <c r="M18" s="45">
        <v>0.22</v>
      </c>
      <c r="N18" s="45">
        <f>10000*M18</f>
        <v>2200</v>
      </c>
      <c r="O18" s="23" t="s">
        <v>166</v>
      </c>
      <c r="P18" s="10"/>
      <c r="Q18" s="45">
        <v>0.01</v>
      </c>
      <c r="R18" s="45">
        <v>12.84</v>
      </c>
      <c r="S18" s="45">
        <v>1.78</v>
      </c>
      <c r="T18" s="45">
        <v>13.08</v>
      </c>
      <c r="U18" s="45">
        <v>1.38</v>
      </c>
      <c r="V18" s="45">
        <v>4.8499999999999996</v>
      </c>
      <c r="W18" s="45">
        <v>0.12</v>
      </c>
      <c r="X18" s="45">
        <v>1.53</v>
      </c>
      <c r="Y18" s="45">
        <v>0.32</v>
      </c>
      <c r="Z18" s="45">
        <v>56.19</v>
      </c>
      <c r="AA18" s="45">
        <v>2.27</v>
      </c>
      <c r="AB18" s="45">
        <v>5.24</v>
      </c>
      <c r="AC18" s="45">
        <f>SUM(R18:AA18)</f>
        <v>94.36</v>
      </c>
      <c r="AD18" s="45">
        <v>99.61</v>
      </c>
      <c r="AE18" s="47">
        <f>100/AC18</f>
        <v>1.0597710894446799</v>
      </c>
      <c r="AF18" s="47">
        <f>Z18*AE18</f>
        <v>59.548537515896562</v>
      </c>
      <c r="AG18" s="47">
        <f>AA18*AE18</f>
        <v>2.4056803730394236</v>
      </c>
      <c r="AH18" s="47">
        <f>R18*AE18</f>
        <v>13.607460788469689</v>
      </c>
      <c r="AI18" s="47">
        <f>AE18*V18</f>
        <v>5.139889783806697</v>
      </c>
      <c r="AJ18" s="47">
        <f>AE18*W18</f>
        <v>0.12717253073336157</v>
      </c>
      <c r="AK18" s="47">
        <f>AE18*T18</f>
        <v>13.861805849936413</v>
      </c>
      <c r="AL18" s="47">
        <f>AE18*S18</f>
        <v>1.8863925392115302</v>
      </c>
      <c r="AM18" s="47">
        <f>AE18*X18</f>
        <v>1.6214497668503602</v>
      </c>
      <c r="AN18" s="47">
        <f>AE18*U18</f>
        <v>1.4624841034336582</v>
      </c>
      <c r="AO18" s="47">
        <f>AE18*Y18</f>
        <v>0.33912674862229758</v>
      </c>
      <c r="AP18" s="45">
        <v>207.4</v>
      </c>
      <c r="AQ18" s="45">
        <v>3.07</v>
      </c>
      <c r="AR18" s="45" t="s">
        <v>37</v>
      </c>
      <c r="AS18" s="45" t="s">
        <v>39</v>
      </c>
      <c r="AT18" s="45">
        <v>121.41</v>
      </c>
      <c r="AU18" s="45">
        <v>49.38</v>
      </c>
      <c r="AV18" s="45">
        <v>224</v>
      </c>
      <c r="AW18" s="45">
        <v>23.762</v>
      </c>
      <c r="AX18" s="45">
        <v>9.8000000000000007</v>
      </c>
      <c r="AY18" s="45">
        <v>10.993</v>
      </c>
      <c r="AZ18" s="45">
        <v>5.5430000000000001</v>
      </c>
      <c r="BA18" s="45">
        <v>2.952</v>
      </c>
      <c r="BB18" s="45">
        <v>24.69</v>
      </c>
      <c r="BC18" s="45">
        <v>12.329000000000001</v>
      </c>
      <c r="BD18" s="45">
        <v>8.81</v>
      </c>
      <c r="BE18" s="45">
        <v>2.0859999999999999</v>
      </c>
      <c r="BF18" s="45">
        <v>0.04</v>
      </c>
      <c r="BG18" s="45">
        <v>54.75</v>
      </c>
      <c r="BH18" s="45">
        <v>60.2</v>
      </c>
      <c r="BI18" s="45">
        <v>0.64900000000000002</v>
      </c>
      <c r="BJ18" s="45">
        <v>0.5</v>
      </c>
      <c r="BK18" s="45">
        <v>41.012999999999998</v>
      </c>
      <c r="BL18" s="45">
        <v>60.18</v>
      </c>
      <c r="BM18" s="45">
        <v>106.4</v>
      </c>
      <c r="BN18" s="45">
        <v>8.6</v>
      </c>
      <c r="BO18" s="45">
        <v>15.183</v>
      </c>
      <c r="BP18" s="45">
        <v>108.75</v>
      </c>
      <c r="BQ18" s="45">
        <v>3.06</v>
      </c>
      <c r="BR18" s="45">
        <v>28.3</v>
      </c>
      <c r="BS18" s="45">
        <v>13.148</v>
      </c>
      <c r="BT18" s="45">
        <v>4.82</v>
      </c>
      <c r="BU18" s="45">
        <v>50.4</v>
      </c>
      <c r="BV18" s="45">
        <v>2.77</v>
      </c>
      <c r="BW18" s="45">
        <v>1.8620000000000001</v>
      </c>
      <c r="BX18" s="45">
        <v>10.022</v>
      </c>
      <c r="BY18" s="45">
        <v>13588</v>
      </c>
      <c r="BZ18" s="45">
        <v>0.86299999999999999</v>
      </c>
      <c r="CA18" s="45">
        <v>0.75600000000000001</v>
      </c>
      <c r="CB18" s="45">
        <v>2.6509999999999998</v>
      </c>
      <c r="CC18" s="45">
        <v>192.8</v>
      </c>
      <c r="CD18" s="45">
        <v>82.02</v>
      </c>
      <c r="CE18" s="45">
        <v>54.72</v>
      </c>
      <c r="CF18" s="45">
        <v>4.5839999999999996</v>
      </c>
      <c r="CG18" s="45">
        <v>146</v>
      </c>
      <c r="CH18" s="45">
        <v>339</v>
      </c>
      <c r="CI18" s="47">
        <f>380*G18/N18</f>
        <v>0.18654545454545457</v>
      </c>
      <c r="CJ18" s="47">
        <f>AE18*AP18/6.6</f>
        <v>33.302503628913122</v>
      </c>
      <c r="CK18" s="47">
        <f>AE18*BX18/0.0795</f>
        <v>133.59780953980606</v>
      </c>
      <c r="CL18" s="47">
        <f>AE18*BK18/0.658</f>
        <v>66.055306521876375</v>
      </c>
      <c r="CM18" s="47">
        <f>AE18*BG18/0.648</f>
        <v>89.540844362802815</v>
      </c>
      <c r="CN18" s="47">
        <f>AE18*AT18/1.675</f>
        <v>76.816004757897659</v>
      </c>
      <c r="CO18" s="47">
        <f>AE18*BK18/1.25</f>
        <v>34.771513353115722</v>
      </c>
      <c r="CP18" s="47">
        <f>AE18*BU18/19.9</f>
        <v>2.6840433622116517</v>
      </c>
      <c r="CQ18" s="47">
        <f>AE18*BS18/0.406</f>
        <v>34.319877546843969</v>
      </c>
      <c r="CR18" s="47">
        <f>AE18*CH18/10.5</f>
        <v>34.215466602071096</v>
      </c>
      <c r="CS18" s="47">
        <f>AE18*AG18/0.2</f>
        <v>12.74735254895837</v>
      </c>
      <c r="CT18" s="47">
        <f>AE18*BA18/0.154</f>
        <v>20.314573091173344</v>
      </c>
      <c r="CU18" s="47">
        <f>AE18*BC18/0.544</f>
        <v>24.018231179712238</v>
      </c>
      <c r="CV18" s="47">
        <f>AE18*AY18/0.674</f>
        <v>17.284960810482737</v>
      </c>
      <c r="CW18" s="47">
        <f>AE18*AZ18/0.438</f>
        <v>13.411669289479136</v>
      </c>
      <c r="CX18" s="47">
        <f>AE18*CF18/0.441</f>
        <v>11.015851868513407</v>
      </c>
      <c r="CY18" s="45" t="s">
        <v>141</v>
      </c>
      <c r="CZ18" s="45" t="s">
        <v>72</v>
      </c>
      <c r="DA18" s="45" t="s">
        <v>72</v>
      </c>
      <c r="DB18" s="47">
        <f>CL18/CK18</f>
        <v>0.49443405359273424</v>
      </c>
      <c r="DC18" s="47">
        <f>CK18/CX18</f>
        <v>12.12777832658303</v>
      </c>
      <c r="DD18" s="46">
        <f>1000*BM18/G18</f>
        <v>98518.518518518511</v>
      </c>
      <c r="DE18" s="46">
        <f>1000*AX18/F18</f>
        <v>89090.909090909088</v>
      </c>
      <c r="DF18" s="45">
        <v>0.11</v>
      </c>
      <c r="DG18" s="45">
        <v>1.08</v>
      </c>
      <c r="DH18" s="4">
        <f>K18*38/M18/10000</f>
        <v>0.1692727272727273</v>
      </c>
      <c r="DI18" s="47"/>
      <c r="DJ18" s="45">
        <v>2200</v>
      </c>
      <c r="DK18" s="4">
        <f t="shared" si="15"/>
        <v>2.6895724258289708</v>
      </c>
      <c r="DN18" s="4">
        <f t="shared" si="16"/>
        <v>8.1283631471785931</v>
      </c>
      <c r="DO18" s="102">
        <f>1000*AX18/G18</f>
        <v>9074.074074074073</v>
      </c>
      <c r="DP18" s="102">
        <f>G18/F18</f>
        <v>9.8181818181818183</v>
      </c>
      <c r="DQ18" s="4">
        <f>BM18/K18</f>
        <v>10.857142857142858</v>
      </c>
    </row>
    <row r="19" spans="1:121" s="5" customFormat="1">
      <c r="A19" s="5" t="s">
        <v>140</v>
      </c>
      <c r="B19" s="5" t="s">
        <v>53</v>
      </c>
      <c r="C19" s="5">
        <v>128.55000000000001</v>
      </c>
      <c r="D19" s="5" t="s">
        <v>71</v>
      </c>
      <c r="E19" s="5">
        <v>0.49</v>
      </c>
      <c r="F19" s="5">
        <v>0.02</v>
      </c>
      <c r="G19" s="5">
        <v>0.27</v>
      </c>
      <c r="H19" s="5">
        <v>0.26</v>
      </c>
      <c r="I19" s="43">
        <v>0.01</v>
      </c>
      <c r="J19" s="43">
        <v>0.04</v>
      </c>
      <c r="K19" s="5">
        <v>65.400000000000006</v>
      </c>
      <c r="L19" s="5">
        <v>3.14</v>
      </c>
      <c r="M19" s="5">
        <v>0.05</v>
      </c>
      <c r="N19" s="5">
        <f t="shared" si="0"/>
        <v>500</v>
      </c>
      <c r="O19" s="23" t="s">
        <v>166</v>
      </c>
      <c r="P19" s="31"/>
      <c r="Q19" s="5">
        <v>0.02</v>
      </c>
      <c r="R19" s="5">
        <v>14.99</v>
      </c>
      <c r="S19" s="5">
        <v>4.83</v>
      </c>
      <c r="T19" s="5">
        <v>11.41</v>
      </c>
      <c r="U19" s="5">
        <v>1.05</v>
      </c>
      <c r="V19" s="5">
        <v>11.57</v>
      </c>
      <c r="W19" s="5">
        <v>0.22</v>
      </c>
      <c r="X19" s="5">
        <v>2.46</v>
      </c>
      <c r="Y19" s="5">
        <v>0.06</v>
      </c>
      <c r="Z19" s="5">
        <v>42.46</v>
      </c>
      <c r="AA19" s="5">
        <v>0.82</v>
      </c>
      <c r="AB19" s="5">
        <v>9.39</v>
      </c>
      <c r="AC19" s="5">
        <f t="shared" si="1"/>
        <v>89.87</v>
      </c>
      <c r="AD19" s="5">
        <v>99.26</v>
      </c>
      <c r="AE19" s="23">
        <f t="shared" si="2"/>
        <v>1.1127183709803048</v>
      </c>
      <c r="AF19" s="23">
        <f t="shared" si="3"/>
        <v>47.246022031823742</v>
      </c>
      <c r="AG19" s="23">
        <f t="shared" si="4"/>
        <v>0.91242906420384984</v>
      </c>
      <c r="AH19" s="23">
        <f t="shared" si="5"/>
        <v>16.67964838099477</v>
      </c>
      <c r="AI19" s="23">
        <f t="shared" si="6"/>
        <v>12.874151552242127</v>
      </c>
      <c r="AJ19" s="23">
        <f t="shared" si="7"/>
        <v>0.24479804161566707</v>
      </c>
      <c r="AK19" s="23">
        <f t="shared" si="8"/>
        <v>12.696116612885278</v>
      </c>
      <c r="AL19" s="23">
        <f t="shared" si="9"/>
        <v>5.3744297318348719</v>
      </c>
      <c r="AM19" s="23">
        <f t="shared" si="10"/>
        <v>2.7372871926115496</v>
      </c>
      <c r="AN19" s="23">
        <f t="shared" si="11"/>
        <v>1.1683542895293202</v>
      </c>
      <c r="AO19" s="23">
        <f t="shared" si="12"/>
        <v>6.6763102258818291E-2</v>
      </c>
      <c r="AP19" s="5">
        <v>437.9</v>
      </c>
      <c r="AQ19" s="5">
        <v>0.69</v>
      </c>
      <c r="AR19" s="5" t="s">
        <v>37</v>
      </c>
      <c r="AS19" s="5">
        <v>0.08</v>
      </c>
      <c r="AT19" s="5">
        <v>10.63</v>
      </c>
      <c r="AU19" s="5">
        <v>64.81</v>
      </c>
      <c r="AV19" s="5">
        <v>481</v>
      </c>
      <c r="AW19" s="5">
        <v>23.117999999999999</v>
      </c>
      <c r="AX19" s="5">
        <v>65.400000000000006</v>
      </c>
      <c r="AY19" s="5">
        <v>3.5139999999999998</v>
      </c>
      <c r="AZ19" s="5">
        <v>2.2210000000000001</v>
      </c>
      <c r="BA19" s="5">
        <v>0.88800000000000001</v>
      </c>
      <c r="BB19" s="5">
        <v>14.47</v>
      </c>
      <c r="BC19" s="5">
        <v>2.9540000000000002</v>
      </c>
      <c r="BD19" s="5">
        <v>1.47</v>
      </c>
      <c r="BE19" s="5">
        <v>0.749</v>
      </c>
      <c r="BF19" s="5">
        <v>6.5000000000000002E-2</v>
      </c>
      <c r="BG19" s="5">
        <v>4.9000000000000004</v>
      </c>
      <c r="BH19" s="5">
        <v>90.2</v>
      </c>
      <c r="BI19" s="5">
        <v>0.308</v>
      </c>
      <c r="BJ19" s="5">
        <v>0.25</v>
      </c>
      <c r="BK19" s="5">
        <v>2.9460000000000002</v>
      </c>
      <c r="BL19" s="5">
        <v>6.83</v>
      </c>
      <c r="BM19" s="5">
        <v>267.2</v>
      </c>
      <c r="BN19" s="5">
        <v>12.5</v>
      </c>
      <c r="BO19" s="5">
        <v>1.4670000000000001</v>
      </c>
      <c r="BP19" s="5">
        <v>34.69</v>
      </c>
      <c r="BQ19" s="5">
        <v>0.74</v>
      </c>
      <c r="BR19" s="5">
        <v>39.6</v>
      </c>
      <c r="BS19" s="5">
        <v>2.202</v>
      </c>
      <c r="BT19" s="5">
        <v>0.73</v>
      </c>
      <c r="BU19" s="5">
        <v>225.7</v>
      </c>
      <c r="BV19" s="5">
        <v>0.20699999999999999</v>
      </c>
      <c r="BW19" s="5">
        <v>0.53600000000000003</v>
      </c>
      <c r="BX19" s="5">
        <v>0.9</v>
      </c>
      <c r="BY19" s="5">
        <v>5386</v>
      </c>
      <c r="BZ19" s="5">
        <v>0.33500000000000002</v>
      </c>
      <c r="CA19" s="5">
        <v>0.32</v>
      </c>
      <c r="CB19" s="5">
        <v>0.27</v>
      </c>
      <c r="CC19" s="5">
        <v>285.5</v>
      </c>
      <c r="CD19" s="5">
        <v>23.34</v>
      </c>
      <c r="CE19" s="5">
        <v>19.22</v>
      </c>
      <c r="CF19" s="5">
        <v>2.0390000000000001</v>
      </c>
      <c r="CG19" s="5">
        <v>108</v>
      </c>
      <c r="CH19" s="5">
        <v>50</v>
      </c>
      <c r="CI19" s="23">
        <f>380*G19/N19</f>
        <v>0.20520000000000002</v>
      </c>
      <c r="CJ19" s="23">
        <f>AE19*AP19/6.6</f>
        <v>73.827177977617495</v>
      </c>
      <c r="CK19" s="23">
        <f>AE19*BX19/0.0795</f>
        <v>12.596811746946848</v>
      </c>
      <c r="CL19" s="23">
        <f>AE19*BK19/0.658</f>
        <v>4.9818667491002708</v>
      </c>
      <c r="CM19" s="23">
        <f>AE19*BG19/0.648</f>
        <v>8.4140741015486018</v>
      </c>
      <c r="CN19" s="23">
        <f>AE19*AT19/1.675</f>
        <v>7.0616097215048592</v>
      </c>
      <c r="CO19" s="23">
        <f>AE19*BK19/1.25</f>
        <v>2.6224546567263824</v>
      </c>
      <c r="CP19" s="23">
        <f>AE19*BU19/19.9</f>
        <v>12.620127453781649</v>
      </c>
      <c r="CQ19" s="23">
        <f>AE19*BS19/0.406</f>
        <v>6.0349897854646084</v>
      </c>
      <c r="CR19" s="23">
        <f>AE19*CH19/10.5</f>
        <v>5.2986589094300225</v>
      </c>
      <c r="CS19" s="23">
        <f>AE19*AG19/0.2</f>
        <v>5.0763829097799578</v>
      </c>
      <c r="CT19" s="23">
        <f>AE19*BA19/0.154</f>
        <v>6.4161942430552639</v>
      </c>
      <c r="CU19" s="23">
        <f>AE19*BC19/0.544</f>
        <v>6.0422243894776111</v>
      </c>
      <c r="CV19" s="23">
        <f>AE19*AY19/0.674</f>
        <v>5.8013239697697188</v>
      </c>
      <c r="CW19" s="23">
        <f>AE19*AZ19/0.438</f>
        <v>5.6423458948567511</v>
      </c>
      <c r="CX19" s="23">
        <f>AE19*CF19/0.441</f>
        <v>5.144745483965627</v>
      </c>
      <c r="CY19" s="5" t="s">
        <v>140</v>
      </c>
      <c r="CZ19" s="5" t="s">
        <v>71</v>
      </c>
      <c r="DA19" s="5" t="s">
        <v>71</v>
      </c>
      <c r="DB19" s="23">
        <f t="shared" si="13"/>
        <v>0.39548632218844981</v>
      </c>
      <c r="DC19" s="23">
        <f t="shared" si="14"/>
        <v>2.448481034913526</v>
      </c>
      <c r="DD19" s="31">
        <f>1000*BM19/G19</f>
        <v>989629.62962962955</v>
      </c>
      <c r="DE19" s="31">
        <f>1000*AX19/F19</f>
        <v>3270000.0000000005</v>
      </c>
      <c r="DF19" s="5">
        <v>0.02</v>
      </c>
      <c r="DG19" s="5">
        <v>0.27</v>
      </c>
      <c r="DH19" s="4">
        <f>K19*38/M19/10000</f>
        <v>4.9703999999999997</v>
      </c>
      <c r="DI19" s="44"/>
      <c r="DJ19" s="5">
        <v>500</v>
      </c>
      <c r="DK19" s="4">
        <f t="shared" si="15"/>
        <v>1.4487493869543895</v>
      </c>
      <c r="DN19" s="4">
        <f t="shared" si="16"/>
        <v>1.6354694567053567</v>
      </c>
      <c r="DO19" s="102">
        <f>1000*AX19/G19</f>
        <v>242222.22222222222</v>
      </c>
      <c r="DP19" s="102">
        <f>G19/F19</f>
        <v>13.5</v>
      </c>
      <c r="DQ19" s="4">
        <f>BM19/K19</f>
        <v>4.0856269113149839</v>
      </c>
    </row>
    <row r="20" spans="1:121" s="7" customFormat="1">
      <c r="A20" s="7" t="s">
        <v>144</v>
      </c>
      <c r="B20" s="7" t="s">
        <v>53</v>
      </c>
      <c r="C20" s="7">
        <v>151.55000000000001</v>
      </c>
      <c r="D20" s="7" t="s">
        <v>23</v>
      </c>
      <c r="E20" s="7">
        <v>57.5</v>
      </c>
      <c r="F20" s="7">
        <v>6.3</v>
      </c>
      <c r="G20" s="7">
        <v>131</v>
      </c>
      <c r="H20" s="7">
        <v>96.1</v>
      </c>
      <c r="I20" s="7">
        <v>3.54</v>
      </c>
      <c r="J20" s="7">
        <v>11.7</v>
      </c>
      <c r="K20" s="82">
        <v>3895</v>
      </c>
      <c r="L20" s="7">
        <v>7.09</v>
      </c>
      <c r="M20" s="7">
        <v>1.28</v>
      </c>
      <c r="N20" s="7">
        <f>10000*M20</f>
        <v>12800</v>
      </c>
      <c r="O20" s="24">
        <v>5.8</v>
      </c>
      <c r="P20" s="41">
        <f>N20/O20</f>
        <v>2206.8965517241381</v>
      </c>
      <c r="Q20" s="7">
        <v>0.64</v>
      </c>
      <c r="R20" s="7">
        <v>10.15</v>
      </c>
      <c r="S20" s="7">
        <v>6.12</v>
      </c>
      <c r="T20" s="7">
        <v>15.06</v>
      </c>
      <c r="U20" s="7">
        <v>0.02</v>
      </c>
      <c r="V20" s="7">
        <v>16.27</v>
      </c>
      <c r="W20" s="7">
        <v>0.28000000000000003</v>
      </c>
      <c r="X20" s="7">
        <v>0.05</v>
      </c>
      <c r="Y20" s="7">
        <v>0.06</v>
      </c>
      <c r="Z20" s="7">
        <v>35.880000000000003</v>
      </c>
      <c r="AA20" s="7">
        <v>0.59</v>
      </c>
      <c r="AB20" s="7">
        <v>11.44</v>
      </c>
      <c r="AC20" s="7">
        <f>SUM(R20:AA20)</f>
        <v>84.48</v>
      </c>
      <c r="AD20" s="7">
        <v>95.92</v>
      </c>
      <c r="AE20" s="24">
        <f>100/AC20</f>
        <v>1.1837121212121211</v>
      </c>
      <c r="AF20" s="24">
        <f>Z20*AE20</f>
        <v>42.471590909090907</v>
      </c>
      <c r="AG20" s="24">
        <f>AA20*AE20</f>
        <v>0.69839015151515138</v>
      </c>
      <c r="AH20" s="24">
        <f>R20*AE20</f>
        <v>12.014678030303029</v>
      </c>
      <c r="AI20" s="24">
        <f>AE20*V20</f>
        <v>19.258996212121211</v>
      </c>
      <c r="AJ20" s="24">
        <f>AE20*W20</f>
        <v>0.33143939393939392</v>
      </c>
      <c r="AK20" s="24">
        <f>AE20*T20</f>
        <v>17.826704545454543</v>
      </c>
      <c r="AL20" s="24">
        <f>AE20*S20</f>
        <v>7.2443181818181817</v>
      </c>
      <c r="AM20" s="24">
        <f>AE20*X20</f>
        <v>5.9185606060606057E-2</v>
      </c>
      <c r="AN20" s="24">
        <f>AE20*U20</f>
        <v>2.3674242424242424E-2</v>
      </c>
      <c r="AO20" s="24">
        <f>AE20*Y20</f>
        <v>7.1022727272727265E-2</v>
      </c>
      <c r="AP20" s="7">
        <v>13.5</v>
      </c>
      <c r="AQ20" s="7">
        <v>1.68</v>
      </c>
      <c r="AR20" s="7">
        <v>0.33</v>
      </c>
      <c r="AS20" s="7">
        <v>0.45700000000000002</v>
      </c>
      <c r="AT20" s="7">
        <v>7.8</v>
      </c>
      <c r="AU20" s="7">
        <v>173</v>
      </c>
      <c r="AV20" s="7">
        <v>1420</v>
      </c>
      <c r="AW20" s="7">
        <v>10.795</v>
      </c>
      <c r="AX20" s="40">
        <v>3895</v>
      </c>
      <c r="AY20" s="7">
        <v>2.8130000000000002</v>
      </c>
      <c r="AZ20" s="7">
        <v>1.7170000000000001</v>
      </c>
      <c r="BA20" s="7">
        <v>0.63900000000000001</v>
      </c>
      <c r="BB20" s="7">
        <v>12</v>
      </c>
      <c r="BC20" s="7">
        <v>2.2829999999999999</v>
      </c>
      <c r="BD20" s="7">
        <v>1.1100000000000001</v>
      </c>
      <c r="BE20" s="7">
        <v>0.59299999999999997</v>
      </c>
      <c r="BF20" s="7">
        <v>7.1999999999999995E-2</v>
      </c>
      <c r="BG20" s="7">
        <v>3.37</v>
      </c>
      <c r="BH20" s="7">
        <v>73.8</v>
      </c>
      <c r="BI20" s="7">
        <v>0.247</v>
      </c>
      <c r="BJ20" s="7">
        <v>0.24</v>
      </c>
      <c r="BK20" s="7">
        <v>2.2719999999999998</v>
      </c>
      <c r="BL20" s="7">
        <v>5.14</v>
      </c>
      <c r="BM20" s="7">
        <v>5808</v>
      </c>
      <c r="BN20" s="7">
        <v>3.6</v>
      </c>
      <c r="BO20" s="7">
        <v>1.071</v>
      </c>
      <c r="BP20" s="7">
        <v>1.84</v>
      </c>
      <c r="BQ20" s="7">
        <v>2.42</v>
      </c>
      <c r="BR20" s="7">
        <v>35.200000000000003</v>
      </c>
      <c r="BS20" s="7">
        <v>1.661</v>
      </c>
      <c r="BT20" s="7">
        <v>0.92</v>
      </c>
      <c r="BU20" s="7">
        <v>55.3</v>
      </c>
      <c r="BV20" s="7">
        <v>0.158</v>
      </c>
      <c r="BW20" s="7">
        <v>0.41599999999999998</v>
      </c>
      <c r="BX20" s="7">
        <v>0.60299999999999998</v>
      </c>
      <c r="BY20" s="7">
        <v>4205</v>
      </c>
      <c r="BZ20" s="7">
        <v>1.0149999999999999</v>
      </c>
      <c r="CA20" s="7">
        <v>0.25800000000000001</v>
      </c>
      <c r="CB20" s="7">
        <v>0.17</v>
      </c>
      <c r="CC20" s="7">
        <v>209.7</v>
      </c>
      <c r="CD20" s="7">
        <v>23.61</v>
      </c>
      <c r="CE20" s="7">
        <v>15.68</v>
      </c>
      <c r="CF20" s="7">
        <v>1.65</v>
      </c>
      <c r="CG20" s="7">
        <v>103</v>
      </c>
      <c r="CH20" s="7">
        <v>39</v>
      </c>
      <c r="CI20" s="24">
        <f>380*G20/N20</f>
        <v>3.8890625000000001</v>
      </c>
      <c r="CJ20" s="24">
        <f>AE20*AP20/6.6</f>
        <v>2.4212293388429753</v>
      </c>
      <c r="CK20" s="24">
        <f>AE20*BX20/0.0795</f>
        <v>8.978344768439106</v>
      </c>
      <c r="CL20" s="24">
        <f>AE20*BK20/0.658</f>
        <v>4.0872248319056821</v>
      </c>
      <c r="CM20" s="24">
        <f>AE20*BG20/0.648</f>
        <v>6.1560337167976051</v>
      </c>
      <c r="CN20" s="24">
        <f>AE20*AT20/1.675</f>
        <v>5.512211668928086</v>
      </c>
      <c r="CO20" s="24">
        <f>AE20*BK20/1.25</f>
        <v>2.1515151515151514</v>
      </c>
      <c r="CP20" s="24">
        <f>AE20*BU20/19.9</f>
        <v>3.2894110705040354</v>
      </c>
      <c r="CQ20" s="24">
        <f>AE20*BS20/0.406</f>
        <v>4.842723727422003</v>
      </c>
      <c r="CR20" s="24">
        <f>AE20*CH20/10.5</f>
        <v>4.3966450216450212</v>
      </c>
      <c r="CS20" s="24">
        <f>AE20*AG20/0.2</f>
        <v>4.1334644384182724</v>
      </c>
      <c r="CT20" s="24">
        <f>AE20*BA20/0.154</f>
        <v>4.9116366587957492</v>
      </c>
      <c r="CU20" s="24">
        <f>AE20*BC20/0.544</f>
        <v>4.9676742145721917</v>
      </c>
      <c r="CV20" s="24">
        <f>AE20*AY20/0.674</f>
        <v>4.9403296690945053</v>
      </c>
      <c r="CW20" s="24">
        <f>AE20*AZ20/0.438</f>
        <v>4.6402596167150953</v>
      </c>
      <c r="CX20" s="24">
        <f>AE20*CF20/0.441</f>
        <v>4.428854875283446</v>
      </c>
      <c r="CY20" s="7" t="s">
        <v>144</v>
      </c>
      <c r="CZ20" s="7" t="s">
        <v>73</v>
      </c>
      <c r="DA20" s="7" t="s">
        <v>73</v>
      </c>
      <c r="DB20" s="24">
        <f>CL20/CK20</f>
        <v>0.45523144157631296</v>
      </c>
      <c r="DC20" s="24">
        <f>CK20/CX20</f>
        <v>2.0272384219554032</v>
      </c>
      <c r="DD20" s="41">
        <f>1000*BM20/G20</f>
        <v>44335.877862595422</v>
      </c>
      <c r="DE20" s="41">
        <f>1000*AX20/F20</f>
        <v>618253.96825396828</v>
      </c>
      <c r="DF20" s="7">
        <v>6.3</v>
      </c>
      <c r="DG20" s="7">
        <v>131</v>
      </c>
      <c r="DH20" s="4">
        <f>K20*38/M20/10000</f>
        <v>11.563281249999999</v>
      </c>
      <c r="DI20" s="4">
        <f>DG20*38/M20/1000</f>
        <v>3.8890625000000001</v>
      </c>
      <c r="DJ20" s="7">
        <v>12800</v>
      </c>
      <c r="DK20" s="4">
        <f t="shared" si="15"/>
        <v>1.3836363636363636</v>
      </c>
      <c r="DN20" s="4">
        <f t="shared" si="16"/>
        <v>1.3899831649831651</v>
      </c>
      <c r="DO20" s="102">
        <f>1000*AX20/G20</f>
        <v>29732.824427480915</v>
      </c>
      <c r="DP20" s="102">
        <f>G20/F20</f>
        <v>20.793650793650794</v>
      </c>
      <c r="DQ20" s="4">
        <f>BM20/K20</f>
        <v>1.4911424903722721</v>
      </c>
    </row>
    <row r="21" spans="1:121" s="7" customFormat="1">
      <c r="A21" s="7" t="s">
        <v>143</v>
      </c>
      <c r="B21" s="7" t="s">
        <v>53</v>
      </c>
      <c r="C21" s="7">
        <v>155.21</v>
      </c>
      <c r="D21" s="7" t="s">
        <v>23</v>
      </c>
      <c r="E21" s="7">
        <v>122</v>
      </c>
      <c r="F21" s="7">
        <v>25.6</v>
      </c>
      <c r="G21" s="7">
        <v>625</v>
      </c>
      <c r="H21" s="7">
        <v>308</v>
      </c>
      <c r="I21" s="7">
        <v>13.6</v>
      </c>
      <c r="J21" s="7">
        <v>44.7</v>
      </c>
      <c r="K21" s="82">
        <v>13230</v>
      </c>
      <c r="L21" s="7">
        <v>2.0699999999999998</v>
      </c>
      <c r="M21" s="7">
        <v>6.55</v>
      </c>
      <c r="N21" s="7">
        <f>10000*M21</f>
        <v>65500</v>
      </c>
      <c r="O21" s="24">
        <v>29.9</v>
      </c>
      <c r="P21" s="41">
        <f>N21/O21</f>
        <v>2190.635451505017</v>
      </c>
      <c r="Q21" s="7">
        <v>3.13</v>
      </c>
      <c r="R21" s="7">
        <v>10.58</v>
      </c>
      <c r="S21" s="7">
        <v>1.93</v>
      </c>
      <c r="T21" s="7">
        <v>23.84</v>
      </c>
      <c r="U21" s="7">
        <v>0.04</v>
      </c>
      <c r="V21" s="7">
        <v>13.3</v>
      </c>
      <c r="W21" s="7">
        <v>0.19</v>
      </c>
      <c r="X21" s="7">
        <v>7.0000000000000007E-2</v>
      </c>
      <c r="Y21" s="7">
        <v>0.06</v>
      </c>
      <c r="Z21" s="7">
        <v>30.65</v>
      </c>
      <c r="AA21" s="7">
        <v>0.53</v>
      </c>
      <c r="AB21" s="7">
        <v>11.35</v>
      </c>
      <c r="AC21" s="7">
        <f>SUM(R21:AA21)</f>
        <v>81.19</v>
      </c>
      <c r="AD21" s="7">
        <v>92.54</v>
      </c>
      <c r="AE21" s="24">
        <f>100/AC21</f>
        <v>1.2316787781746521</v>
      </c>
      <c r="AF21" s="24">
        <f>Z21*AE21</f>
        <v>37.750954551053084</v>
      </c>
      <c r="AG21" s="24">
        <f>AA21*AE21</f>
        <v>0.65278975243256565</v>
      </c>
      <c r="AH21" s="24">
        <f>R21*AE21</f>
        <v>13.031161473087819</v>
      </c>
      <c r="AI21" s="24">
        <f>AE21*V21</f>
        <v>16.381327749722875</v>
      </c>
      <c r="AJ21" s="24">
        <f>AE21*W21</f>
        <v>0.23401896785318391</v>
      </c>
      <c r="AK21" s="24">
        <f>AE21*T21</f>
        <v>29.363222071683705</v>
      </c>
      <c r="AL21" s="24">
        <f>AE21*S21</f>
        <v>2.3771400418770785</v>
      </c>
      <c r="AM21" s="24">
        <f>AE21*X21</f>
        <v>8.6217514472225656E-2</v>
      </c>
      <c r="AN21" s="24">
        <f>AE21*U21</f>
        <v>4.9267151126986083E-2</v>
      </c>
      <c r="AO21" s="24">
        <f>AE21*Y21</f>
        <v>7.3900726690479118E-2</v>
      </c>
      <c r="AP21" s="7">
        <v>18.399999999999999</v>
      </c>
      <c r="AQ21" s="7">
        <v>0.4</v>
      </c>
      <c r="AR21" s="7">
        <v>1.52</v>
      </c>
      <c r="AS21" s="7">
        <v>1.234</v>
      </c>
      <c r="AT21" s="7">
        <v>7.31</v>
      </c>
      <c r="AU21" s="7">
        <v>463</v>
      </c>
      <c r="AV21" s="7">
        <v>778</v>
      </c>
      <c r="AW21" s="7">
        <v>15.590999999999999</v>
      </c>
      <c r="AX21" s="40">
        <v>13230</v>
      </c>
      <c r="AY21" s="7">
        <v>2.48</v>
      </c>
      <c r="AZ21" s="7">
        <v>1.591</v>
      </c>
      <c r="BA21" s="7">
        <v>0.53300000000000003</v>
      </c>
      <c r="BB21" s="7">
        <v>11.14</v>
      </c>
      <c r="BC21" s="7">
        <v>2.0009999999999999</v>
      </c>
      <c r="BD21" s="7">
        <v>1.08</v>
      </c>
      <c r="BE21" s="7">
        <v>0.53400000000000003</v>
      </c>
      <c r="BF21" s="7">
        <v>0.16300000000000001</v>
      </c>
      <c r="BG21" s="7">
        <v>3.15</v>
      </c>
      <c r="BH21" s="7">
        <v>79.599999999999994</v>
      </c>
      <c r="BI21" s="7">
        <v>0.22500000000000001</v>
      </c>
      <c r="BJ21" s="7">
        <v>0.6</v>
      </c>
      <c r="BK21" s="7">
        <v>2.1779999999999999</v>
      </c>
      <c r="BL21" s="7">
        <v>4.6900000000000004</v>
      </c>
      <c r="BM21" s="7">
        <v>20242</v>
      </c>
      <c r="BN21" s="7">
        <v>11.2</v>
      </c>
      <c r="BO21" s="7">
        <v>1.0109999999999999</v>
      </c>
      <c r="BP21" s="7">
        <v>3.97</v>
      </c>
      <c r="BQ21" s="7">
        <v>2.46</v>
      </c>
      <c r="BR21" s="7">
        <v>30.8</v>
      </c>
      <c r="BS21" s="7">
        <v>1.5209999999999999</v>
      </c>
      <c r="BT21" s="7">
        <v>1.17</v>
      </c>
      <c r="BU21" s="7">
        <v>22.8</v>
      </c>
      <c r="BV21" s="7">
        <v>0.14499999999999999</v>
      </c>
      <c r="BW21" s="7">
        <v>0.36499999999999999</v>
      </c>
      <c r="BX21" s="7">
        <v>0.63800000000000001</v>
      </c>
      <c r="BY21" s="7">
        <v>3688</v>
      </c>
      <c r="BZ21" s="7">
        <v>1.7569999999999999</v>
      </c>
      <c r="CA21" s="7">
        <v>0.23300000000000001</v>
      </c>
      <c r="CB21" s="7">
        <v>0.183</v>
      </c>
      <c r="CC21" s="7">
        <v>200.8</v>
      </c>
      <c r="CD21" s="7">
        <v>15.75</v>
      </c>
      <c r="CE21" s="7">
        <v>13.76</v>
      </c>
      <c r="CF21" s="7">
        <v>1.4970000000000001</v>
      </c>
      <c r="CG21" s="7">
        <v>107</v>
      </c>
      <c r="CH21" s="7">
        <v>39</v>
      </c>
      <c r="CI21" s="24">
        <f>380*G21/N21</f>
        <v>3.6259541984732824</v>
      </c>
      <c r="CJ21" s="24">
        <f>AE21*AP21/6.6</f>
        <v>3.4337711391535755</v>
      </c>
      <c r="CK21" s="24">
        <f>AE21*BX21/0.0795</f>
        <v>9.8844158550368313</v>
      </c>
      <c r="CL21" s="24">
        <f>AE21*BK21/0.658</f>
        <v>4.0768941928030271</v>
      </c>
      <c r="CM21" s="24">
        <f>AE21*BG21/0.648</f>
        <v>5.9873273939045584</v>
      </c>
      <c r="CN21" s="24">
        <f>AE21*AT21/1.675</f>
        <v>5.3752667871383322</v>
      </c>
      <c r="CO21" s="24">
        <f>AE21*BK21/1.25</f>
        <v>2.1460771030915136</v>
      </c>
      <c r="CP21" s="24">
        <f>AE21*BU21/19.9</f>
        <v>1.411169655396084</v>
      </c>
      <c r="CQ21" s="24">
        <f>AE21*BS21/0.406</f>
        <v>4.6142448807971572</v>
      </c>
      <c r="CR21" s="24">
        <f>AE21*CH21/10.5</f>
        <v>4.5748068903629937</v>
      </c>
      <c r="CS21" s="24">
        <f>AE21*AG21/0.2</f>
        <v>4.02013642340538</v>
      </c>
      <c r="CT21" s="24">
        <f>AE21*BA21/0.154</f>
        <v>4.262888238747335</v>
      </c>
      <c r="CU21" s="24">
        <f>AE21*BC21/0.544</f>
        <v>4.5304949175137468</v>
      </c>
      <c r="CV21" s="24">
        <f>AE21*AY21/0.674</f>
        <v>4.5319931303755743</v>
      </c>
      <c r="CW21" s="24">
        <f>AE21*AZ21/0.438</f>
        <v>4.4739747398992495</v>
      </c>
      <c r="CX21" s="24">
        <f>AE21*CF21/0.441</f>
        <v>4.1810048320350441</v>
      </c>
      <c r="CY21" s="7" t="s">
        <v>143</v>
      </c>
      <c r="CZ21" s="7" t="s">
        <v>73</v>
      </c>
      <c r="DA21" s="7" t="s">
        <v>73</v>
      </c>
      <c r="DB21" s="24">
        <f>CL21/CK21</f>
        <v>0.41245676553820343</v>
      </c>
      <c r="DC21" s="24">
        <f>CK21/CX21</f>
        <v>2.3641244753658257</v>
      </c>
      <c r="DD21" s="41">
        <f>1000*BM21/G21</f>
        <v>32387.200000000001</v>
      </c>
      <c r="DE21" s="41">
        <f>1000*AX21/F21</f>
        <v>516796.875</v>
      </c>
      <c r="DF21" s="7">
        <v>25.6</v>
      </c>
      <c r="DG21" s="7">
        <v>625</v>
      </c>
      <c r="DH21" s="4">
        <f>K21*38/M21/10000</f>
        <v>7.6754198473282447</v>
      </c>
      <c r="DI21" s="4">
        <f>DG21*38/M21/1000</f>
        <v>3.6259541984732828</v>
      </c>
      <c r="DJ21" s="7">
        <v>65500</v>
      </c>
      <c r="DK21" s="4">
        <f t="shared" si="15"/>
        <v>1.3366733466933867</v>
      </c>
      <c r="DN21" s="4">
        <f t="shared" si="16"/>
        <v>1.4320307281229121</v>
      </c>
      <c r="DO21" s="102">
        <f>1000*AX21/G21</f>
        <v>21168</v>
      </c>
      <c r="DP21" s="102">
        <f>G21/F21</f>
        <v>24.4140625</v>
      </c>
      <c r="DQ21" s="4">
        <f>BM21/K21</f>
        <v>1.5300075585789872</v>
      </c>
    </row>
    <row r="22" spans="1:121" s="7" customFormat="1">
      <c r="A22" s="7" t="s">
        <v>142</v>
      </c>
      <c r="B22" s="7" t="s">
        <v>53</v>
      </c>
      <c r="C22" s="7">
        <v>159</v>
      </c>
      <c r="D22" s="7" t="s">
        <v>23</v>
      </c>
      <c r="E22" s="7">
        <v>0.61</v>
      </c>
      <c r="F22" s="7">
        <v>0.08</v>
      </c>
      <c r="G22" s="7">
        <v>1.23</v>
      </c>
      <c r="H22" s="7">
        <v>1.04</v>
      </c>
      <c r="I22" s="7">
        <v>0.04</v>
      </c>
      <c r="J22" s="40">
        <v>0.04</v>
      </c>
      <c r="K22" s="7">
        <v>140.6</v>
      </c>
      <c r="L22" s="7">
        <v>2.2200000000000002</v>
      </c>
      <c r="M22" s="7">
        <v>0.02</v>
      </c>
      <c r="N22" s="7">
        <f t="shared" si="0"/>
        <v>200</v>
      </c>
      <c r="O22" s="24" t="s">
        <v>166</v>
      </c>
      <c r="P22" s="41"/>
      <c r="Q22" s="7">
        <v>0.02</v>
      </c>
      <c r="R22" s="7">
        <v>14.27</v>
      </c>
      <c r="S22" s="7">
        <v>4</v>
      </c>
      <c r="T22" s="7">
        <v>12.28</v>
      </c>
      <c r="U22" s="7">
        <v>0.93</v>
      </c>
      <c r="V22" s="7">
        <v>12.27</v>
      </c>
      <c r="W22" s="7">
        <v>0.25</v>
      </c>
      <c r="X22" s="7">
        <v>1.98</v>
      </c>
      <c r="Y22" s="7">
        <v>7.0000000000000007E-2</v>
      </c>
      <c r="Z22" s="7">
        <v>43.85</v>
      </c>
      <c r="AA22" s="7">
        <v>0.79</v>
      </c>
      <c r="AB22" s="7">
        <v>8.75</v>
      </c>
      <c r="AC22" s="7">
        <f t="shared" si="1"/>
        <v>90.690000000000012</v>
      </c>
      <c r="AD22" s="7">
        <v>99.44</v>
      </c>
      <c r="AE22" s="24">
        <f t="shared" si="2"/>
        <v>1.1026574043444701</v>
      </c>
      <c r="AF22" s="24">
        <f t="shared" si="3"/>
        <v>48.351527180505016</v>
      </c>
      <c r="AG22" s="24">
        <f t="shared" si="4"/>
        <v>0.87109934943213141</v>
      </c>
      <c r="AH22" s="24">
        <f t="shared" si="5"/>
        <v>15.734921159995588</v>
      </c>
      <c r="AI22" s="24">
        <f t="shared" si="6"/>
        <v>13.529606351306647</v>
      </c>
      <c r="AJ22" s="24">
        <f t="shared" si="7"/>
        <v>0.27566435108611753</v>
      </c>
      <c r="AK22" s="24">
        <f t="shared" si="8"/>
        <v>13.540632925350092</v>
      </c>
      <c r="AL22" s="24">
        <f t="shared" si="9"/>
        <v>4.4106296173778805</v>
      </c>
      <c r="AM22" s="24">
        <f t="shared" si="10"/>
        <v>2.1832616606020507</v>
      </c>
      <c r="AN22" s="24">
        <f t="shared" si="11"/>
        <v>1.0254713860403573</v>
      </c>
      <c r="AO22" s="24">
        <f t="shared" si="12"/>
        <v>7.7186018304112911E-2</v>
      </c>
      <c r="AP22" s="7">
        <v>416.6</v>
      </c>
      <c r="AQ22" s="7">
        <v>0.98</v>
      </c>
      <c r="AR22" s="7" t="s">
        <v>37</v>
      </c>
      <c r="AS22" s="7">
        <v>8.6999999999999994E-2</v>
      </c>
      <c r="AT22" s="7">
        <v>9.84</v>
      </c>
      <c r="AU22" s="7">
        <v>77.209999999999994</v>
      </c>
      <c r="AV22" s="7">
        <v>615</v>
      </c>
      <c r="AW22" s="7">
        <v>19.617999999999999</v>
      </c>
      <c r="AX22" s="7">
        <v>140.6</v>
      </c>
      <c r="AY22" s="7">
        <v>3.7120000000000002</v>
      </c>
      <c r="AZ22" s="7">
        <v>2.3119999999999998</v>
      </c>
      <c r="BA22" s="7">
        <v>0.81699999999999995</v>
      </c>
      <c r="BB22" s="7">
        <v>14.86</v>
      </c>
      <c r="BC22" s="7">
        <v>3.0419999999999998</v>
      </c>
      <c r="BD22" s="7">
        <v>1.54</v>
      </c>
      <c r="BE22" s="7">
        <v>0.79500000000000004</v>
      </c>
      <c r="BF22" s="7">
        <v>5.8999999999999997E-2</v>
      </c>
      <c r="BG22" s="7">
        <v>4.3099999999999996</v>
      </c>
      <c r="BH22" s="7">
        <v>85.6</v>
      </c>
      <c r="BI22" s="7">
        <v>0.33</v>
      </c>
      <c r="BJ22" s="7">
        <v>0.28000000000000003</v>
      </c>
      <c r="BK22" s="7">
        <v>3.0470000000000002</v>
      </c>
      <c r="BL22" s="7">
        <v>6.62</v>
      </c>
      <c r="BM22" s="7">
        <v>407.2</v>
      </c>
      <c r="BN22" s="7">
        <v>14.1</v>
      </c>
      <c r="BO22" s="7">
        <v>1.3879999999999999</v>
      </c>
      <c r="BP22" s="7">
        <v>25.59</v>
      </c>
      <c r="BQ22" s="7">
        <v>0.16</v>
      </c>
      <c r="BR22" s="7">
        <v>40.299999999999997</v>
      </c>
      <c r="BS22" s="7">
        <v>2.2130000000000001</v>
      </c>
      <c r="BT22" s="7">
        <v>0.53</v>
      </c>
      <c r="BU22" s="7">
        <v>162.4</v>
      </c>
      <c r="BV22" s="7">
        <v>0.218</v>
      </c>
      <c r="BW22" s="7">
        <v>0.54500000000000004</v>
      </c>
      <c r="BX22" s="7">
        <v>0.96299999999999997</v>
      </c>
      <c r="BY22" s="7">
        <v>5182</v>
      </c>
      <c r="BZ22" s="7">
        <v>0.30199999999999999</v>
      </c>
      <c r="CA22" s="7">
        <v>0.34200000000000003</v>
      </c>
      <c r="CB22" s="7">
        <v>0.27500000000000002</v>
      </c>
      <c r="CC22" s="7">
        <v>288.5</v>
      </c>
      <c r="CD22" s="7">
        <v>29.86</v>
      </c>
      <c r="CE22" s="7">
        <v>20.53</v>
      </c>
      <c r="CF22" s="7">
        <v>2.1749999999999998</v>
      </c>
      <c r="CG22" s="7">
        <v>114</v>
      </c>
      <c r="CH22" s="7">
        <v>53</v>
      </c>
      <c r="CI22" s="24">
        <f>380*G22/N22</f>
        <v>2.3369999999999997</v>
      </c>
      <c r="CJ22" s="24">
        <f>AE22*AP22/6.6</f>
        <v>69.601071916652472</v>
      </c>
      <c r="CK22" s="24">
        <f>AE22*BX22/0.0795</f>
        <v>13.356717992248109</v>
      </c>
      <c r="CL22" s="24">
        <f>AE22*BK22/0.658</f>
        <v>5.1060746368352596</v>
      </c>
      <c r="CM22" s="24">
        <f>AE22*BG22/0.648</f>
        <v>7.334033044328188</v>
      </c>
      <c r="CN22" s="24">
        <f>AE22*AT22/1.675</f>
        <v>6.4777008111937828</v>
      </c>
      <c r="CO22" s="24">
        <f>AE22*BK22/1.25</f>
        <v>2.6878376888300806</v>
      </c>
      <c r="CP22" s="24">
        <f>AE22*BU22/19.9</f>
        <v>8.9985709781679368</v>
      </c>
      <c r="CQ22" s="24">
        <f>AE22*BS22/0.406</f>
        <v>6.0102976251584055</v>
      </c>
      <c r="CR22" s="24">
        <f>AE22*CH22/10.5</f>
        <v>5.5657945171673253</v>
      </c>
      <c r="CS22" s="24">
        <f>AE22*AG22/0.2</f>
        <v>4.8026207378549524</v>
      </c>
      <c r="CT22" s="24">
        <f>AE22*BA22/0.154</f>
        <v>5.8498123334378702</v>
      </c>
      <c r="CU22" s="24">
        <f>AE22*BC22/0.544</f>
        <v>6.1659629117938923</v>
      </c>
      <c r="CV22" s="24">
        <f>AE22*AY22/0.674</f>
        <v>6.0727956749653904</v>
      </c>
      <c r="CW22" s="24">
        <f>AE22*AZ22/0.438</f>
        <v>5.8204199060374764</v>
      </c>
      <c r="CX22" s="24">
        <f>AE22*CF22/0.441</f>
        <v>5.4382763139438151</v>
      </c>
      <c r="CY22" s="7" t="s">
        <v>142</v>
      </c>
      <c r="CZ22" s="7" t="s">
        <v>73</v>
      </c>
      <c r="DA22" s="7" t="s">
        <v>73</v>
      </c>
      <c r="DB22" s="24">
        <f t="shared" si="13"/>
        <v>0.38228512721453672</v>
      </c>
      <c r="DC22" s="24">
        <f t="shared" si="14"/>
        <v>2.4560572543916721</v>
      </c>
      <c r="DD22" s="41">
        <f>1000*BM22/G22</f>
        <v>331056.9105691057</v>
      </c>
      <c r="DE22" s="41">
        <f>1000*AX22/F22</f>
        <v>1757500</v>
      </c>
      <c r="DF22" s="7">
        <v>0.08</v>
      </c>
      <c r="DG22" s="7">
        <v>1.23</v>
      </c>
      <c r="DH22" s="4"/>
      <c r="DI22" s="4"/>
      <c r="DJ22" s="7">
        <v>200</v>
      </c>
      <c r="DK22" s="4">
        <f t="shared" si="15"/>
        <v>1.3986206896551725</v>
      </c>
      <c r="DN22" s="4">
        <f t="shared" si="16"/>
        <v>1.3485951468710089</v>
      </c>
      <c r="DO22" s="102">
        <f>1000*AX22/G22</f>
        <v>114308.94308943089</v>
      </c>
      <c r="DP22" s="102">
        <f>G22/F22</f>
        <v>15.375</v>
      </c>
      <c r="DQ22" s="4">
        <f>BM22/K22</f>
        <v>2.8961593172119486</v>
      </c>
    </row>
    <row r="23" spans="1:121" s="5" customFormat="1">
      <c r="A23" s="5" t="s">
        <v>145</v>
      </c>
      <c r="B23" s="5" t="s">
        <v>53</v>
      </c>
      <c r="C23" s="5">
        <v>304</v>
      </c>
      <c r="D23" s="5" t="s">
        <v>74</v>
      </c>
      <c r="E23" s="5">
        <v>2.44</v>
      </c>
      <c r="F23" s="5">
        <v>0.02</v>
      </c>
      <c r="G23" s="5">
        <v>0.49</v>
      </c>
      <c r="H23" s="5">
        <v>0.48</v>
      </c>
      <c r="I23" s="43">
        <v>0.01</v>
      </c>
      <c r="J23" s="43">
        <v>0.04</v>
      </c>
      <c r="K23" s="5">
        <v>139</v>
      </c>
      <c r="L23" s="5">
        <v>1.54</v>
      </c>
      <c r="M23" s="5">
        <v>1.54</v>
      </c>
      <c r="N23" s="5">
        <f t="shared" si="0"/>
        <v>15400</v>
      </c>
      <c r="O23" s="23">
        <v>0.5</v>
      </c>
      <c r="P23" s="41">
        <f t="shared" ref="P23:P35" si="21">N23/O23</f>
        <v>30800</v>
      </c>
      <c r="Q23" s="5">
        <v>0.01</v>
      </c>
      <c r="R23" s="5">
        <v>15.81</v>
      </c>
      <c r="S23" s="5">
        <v>2.93</v>
      </c>
      <c r="T23" s="5">
        <v>11.91</v>
      </c>
      <c r="U23" s="5">
        <v>0.85</v>
      </c>
      <c r="V23" s="5">
        <v>4.57</v>
      </c>
      <c r="W23" s="5">
        <v>0.18</v>
      </c>
      <c r="X23" s="5">
        <v>5.13</v>
      </c>
      <c r="Y23" s="5">
        <v>0.36</v>
      </c>
      <c r="Z23" s="5">
        <v>50.84</v>
      </c>
      <c r="AA23" s="5">
        <v>1.63</v>
      </c>
      <c r="AB23" s="5">
        <v>4.42</v>
      </c>
      <c r="AC23" s="5">
        <f t="shared" si="1"/>
        <v>94.210000000000008</v>
      </c>
      <c r="AD23" s="5">
        <v>98.61</v>
      </c>
      <c r="AE23" s="23">
        <f t="shared" si="2"/>
        <v>1.0614584439019212</v>
      </c>
      <c r="AF23" s="23">
        <f t="shared" si="3"/>
        <v>53.96454728797368</v>
      </c>
      <c r="AG23" s="23">
        <f t="shared" si="4"/>
        <v>1.7301772635601316</v>
      </c>
      <c r="AH23" s="23">
        <f t="shared" si="5"/>
        <v>16.781657998089376</v>
      </c>
      <c r="AI23" s="23">
        <f t="shared" si="6"/>
        <v>4.8508650886317799</v>
      </c>
      <c r="AJ23" s="23">
        <f t="shared" si="7"/>
        <v>0.19106251990234582</v>
      </c>
      <c r="AK23" s="23">
        <f t="shared" si="8"/>
        <v>12.641970066871883</v>
      </c>
      <c r="AL23" s="23">
        <f t="shared" si="9"/>
        <v>3.1100732406326292</v>
      </c>
      <c r="AM23" s="23">
        <f t="shared" si="10"/>
        <v>5.4452818172168556</v>
      </c>
      <c r="AN23" s="23">
        <f t="shared" si="11"/>
        <v>0.90223967731663302</v>
      </c>
      <c r="AO23" s="23">
        <f t="shared" si="12"/>
        <v>0.38212503980469165</v>
      </c>
      <c r="AP23" s="5">
        <v>193.6</v>
      </c>
      <c r="AQ23" s="5">
        <v>1.24</v>
      </c>
      <c r="AR23" s="5" t="s">
        <v>37</v>
      </c>
      <c r="AS23" s="5">
        <v>0.16</v>
      </c>
      <c r="AT23" s="5">
        <v>34.159999999999997</v>
      </c>
      <c r="AU23" s="5">
        <v>45.14</v>
      </c>
      <c r="AV23" s="5">
        <v>4</v>
      </c>
      <c r="AW23" s="5">
        <v>21.053999999999998</v>
      </c>
      <c r="AX23" s="5">
        <v>139</v>
      </c>
      <c r="AY23" s="5">
        <v>10.489000000000001</v>
      </c>
      <c r="AZ23" s="5">
        <v>6.4409999999999998</v>
      </c>
      <c r="BA23" s="5">
        <v>2.109</v>
      </c>
      <c r="BB23" s="5">
        <v>26.34</v>
      </c>
      <c r="BC23" s="5">
        <v>9.0690000000000008</v>
      </c>
      <c r="BD23" s="5">
        <v>3.75</v>
      </c>
      <c r="BE23" s="5">
        <v>2.2160000000000002</v>
      </c>
      <c r="BF23" s="5">
        <v>0.157</v>
      </c>
      <c r="BG23" s="5">
        <v>15.24</v>
      </c>
      <c r="BH23" s="5">
        <v>30.9</v>
      </c>
      <c r="BI23" s="5">
        <v>0.872</v>
      </c>
      <c r="BJ23" s="5">
        <v>0.79</v>
      </c>
      <c r="BK23" s="5">
        <v>9.1430000000000007</v>
      </c>
      <c r="BL23" s="5">
        <v>22.17</v>
      </c>
      <c r="BM23" s="5">
        <v>16.3</v>
      </c>
      <c r="BN23" s="5">
        <v>13.9</v>
      </c>
      <c r="BO23" s="5">
        <v>4.7549999999999999</v>
      </c>
      <c r="BP23" s="5">
        <v>46.68</v>
      </c>
      <c r="BQ23" s="5">
        <v>6.33</v>
      </c>
      <c r="BR23" s="5">
        <v>38.5</v>
      </c>
      <c r="BS23" s="5">
        <v>6.8440000000000003</v>
      </c>
      <c r="BT23" s="5">
        <v>1.44</v>
      </c>
      <c r="BU23" s="5">
        <v>208.6</v>
      </c>
      <c r="BV23" s="5">
        <v>0.629</v>
      </c>
      <c r="BW23" s="5">
        <v>1.5640000000000001</v>
      </c>
      <c r="BX23" s="5">
        <v>2.859</v>
      </c>
      <c r="BY23" s="5">
        <v>10841</v>
      </c>
      <c r="BZ23" s="5">
        <v>1.0760000000000001</v>
      </c>
      <c r="CA23" s="5">
        <v>0.93</v>
      </c>
      <c r="CB23" s="5">
        <v>0.79200000000000004</v>
      </c>
      <c r="CC23" s="5">
        <v>236</v>
      </c>
      <c r="CD23" s="5">
        <v>68.33</v>
      </c>
      <c r="CE23" s="5">
        <v>57.62</v>
      </c>
      <c r="CF23" s="5">
        <v>5.8659999999999997</v>
      </c>
      <c r="CG23" s="5">
        <v>108</v>
      </c>
      <c r="CH23" s="5">
        <v>139</v>
      </c>
      <c r="CI23" s="23">
        <f>380*G23/N23</f>
        <v>1.209090909090909E-2</v>
      </c>
      <c r="CJ23" s="23">
        <f>AE23*AP23/6.6</f>
        <v>31.136114354456357</v>
      </c>
      <c r="CK23" s="23">
        <f>AE23*BX23/0.0795</f>
        <v>38.172448944850224</v>
      </c>
      <c r="CL23" s="23">
        <f>AE23*BK23/0.658</f>
        <v>14.749110262302835</v>
      </c>
      <c r="CM23" s="23">
        <f>AE23*BG23/0.648</f>
        <v>24.963930069545185</v>
      </c>
      <c r="CN23" s="23">
        <f>AE23*AT23/1.675</f>
        <v>21.647415190262464</v>
      </c>
      <c r="CO23" s="23">
        <f>AE23*BK23/1.25</f>
        <v>7.763931642076213</v>
      </c>
      <c r="CP23" s="23">
        <f>AE23*BU23/19.9</f>
        <v>11.126644793866371</v>
      </c>
      <c r="CQ23" s="23">
        <f>AE23*BS23/0.406</f>
        <v>17.893156625775244</v>
      </c>
      <c r="CR23" s="23">
        <f>AE23*CH23/10.5</f>
        <v>14.051687971654005</v>
      </c>
      <c r="CS23" s="23">
        <f>AE23*AG23/0.2</f>
        <v>9.1825563292651076</v>
      </c>
      <c r="CT23" s="23">
        <f>AE23*BA23/0.154</f>
        <v>14.53646661161787</v>
      </c>
      <c r="CU23" s="23">
        <f>AE23*BC23/0.544</f>
        <v>17.695526889239932</v>
      </c>
      <c r="CV23" s="23">
        <f>AE23*AY23/0.674</f>
        <v>16.518750175203639</v>
      </c>
      <c r="CW23" s="23">
        <f>AE23*AZ23/0.438</f>
        <v>15.609255336009758</v>
      </c>
      <c r="CX23" s="23">
        <f>AE23*CF23/0.441</f>
        <v>14.119082158568411</v>
      </c>
      <c r="CY23" s="5" t="s">
        <v>145</v>
      </c>
      <c r="CZ23" s="5" t="s">
        <v>74</v>
      </c>
      <c r="DA23" s="5" t="s">
        <v>74</v>
      </c>
      <c r="DB23" s="23">
        <f t="shared" si="13"/>
        <v>0.38638103317949712</v>
      </c>
      <c r="DC23" s="23">
        <f t="shared" si="14"/>
        <v>2.7036069707749815</v>
      </c>
      <c r="DD23" s="31">
        <f>1000*BM23/G23</f>
        <v>33265.306122448979</v>
      </c>
      <c r="DE23" s="31">
        <f>1000*AX23/F23</f>
        <v>6950000</v>
      </c>
      <c r="DF23" s="5">
        <v>0.02</v>
      </c>
      <c r="DG23" s="5">
        <v>0.49</v>
      </c>
      <c r="DH23" s="4">
        <f>K23*38/M23/10000</f>
        <v>0.34298701298701301</v>
      </c>
      <c r="DI23" s="44"/>
      <c r="DJ23" s="5">
        <v>15400</v>
      </c>
      <c r="DK23" s="4">
        <f t="shared" si="15"/>
        <v>1.5460279577224687</v>
      </c>
      <c r="DN23" s="4">
        <f t="shared" si="16"/>
        <v>1.7680986475735883</v>
      </c>
      <c r="DO23" s="102">
        <f>1000*AX23/G23</f>
        <v>283673.46938775509</v>
      </c>
      <c r="DP23" s="102">
        <f>G23/F23</f>
        <v>24.5</v>
      </c>
      <c r="DQ23" s="4">
        <f>BM23/K23</f>
        <v>0.11726618705035972</v>
      </c>
    </row>
    <row r="24" spans="1:121" s="5" customFormat="1">
      <c r="A24" s="5" t="s">
        <v>146</v>
      </c>
      <c r="B24" s="5" t="s">
        <v>53</v>
      </c>
      <c r="C24" s="5">
        <v>306.10000000000002</v>
      </c>
      <c r="D24" s="5" t="s">
        <v>74</v>
      </c>
      <c r="E24" s="5">
        <v>0.61</v>
      </c>
      <c r="F24" s="5">
        <v>7.0000000000000007E-2</v>
      </c>
      <c r="G24" s="5">
        <v>0.99</v>
      </c>
      <c r="H24" s="5">
        <v>0.92</v>
      </c>
      <c r="I24" s="5">
        <v>0.03</v>
      </c>
      <c r="J24" s="43">
        <v>0.04</v>
      </c>
      <c r="K24" s="5">
        <v>132.69999999999999</v>
      </c>
      <c r="L24" s="5">
        <v>2.6</v>
      </c>
      <c r="M24" s="5">
        <v>0.03</v>
      </c>
      <c r="N24" s="5">
        <f t="shared" si="0"/>
        <v>300</v>
      </c>
      <c r="O24" s="23" t="s">
        <v>166</v>
      </c>
      <c r="P24" s="41"/>
      <c r="Q24" s="5">
        <v>0.02</v>
      </c>
      <c r="R24" s="5">
        <v>12.99</v>
      </c>
      <c r="S24" s="5">
        <v>6.93</v>
      </c>
      <c r="T24" s="5">
        <v>11.62</v>
      </c>
      <c r="U24" s="5">
        <v>0.75</v>
      </c>
      <c r="V24" s="5">
        <v>15.98</v>
      </c>
      <c r="W24" s="5">
        <v>0.2</v>
      </c>
      <c r="X24" s="5">
        <v>1.1200000000000001</v>
      </c>
      <c r="Y24" s="5">
        <v>0.04</v>
      </c>
      <c r="Z24" s="5">
        <v>41.4</v>
      </c>
      <c r="AA24" s="5">
        <v>0.56000000000000005</v>
      </c>
      <c r="AB24" s="5">
        <v>8.02</v>
      </c>
      <c r="AC24" s="5">
        <f t="shared" si="1"/>
        <v>91.59</v>
      </c>
      <c r="AD24" s="5">
        <v>99.62</v>
      </c>
      <c r="AE24" s="23">
        <f t="shared" si="2"/>
        <v>1.0918222513374822</v>
      </c>
      <c r="AF24" s="23">
        <f t="shared" si="3"/>
        <v>45.201441205371765</v>
      </c>
      <c r="AG24" s="23">
        <f t="shared" si="4"/>
        <v>0.61142046074899015</v>
      </c>
      <c r="AH24" s="23">
        <f t="shared" si="5"/>
        <v>14.182771044873894</v>
      </c>
      <c r="AI24" s="23">
        <f t="shared" si="6"/>
        <v>17.447319576372966</v>
      </c>
      <c r="AJ24" s="23">
        <f t="shared" si="7"/>
        <v>0.21836445026749646</v>
      </c>
      <c r="AK24" s="23">
        <f t="shared" si="8"/>
        <v>12.686974560541543</v>
      </c>
      <c r="AL24" s="23">
        <f t="shared" si="9"/>
        <v>7.5663282017687514</v>
      </c>
      <c r="AM24" s="23">
        <f t="shared" si="10"/>
        <v>1.2228409214979803</v>
      </c>
      <c r="AN24" s="23">
        <f t="shared" si="11"/>
        <v>0.81886668850311173</v>
      </c>
      <c r="AO24" s="23">
        <f t="shared" si="12"/>
        <v>4.3672890053499287E-2</v>
      </c>
      <c r="AP24" s="5">
        <v>156.9</v>
      </c>
      <c r="AQ24" s="5">
        <v>0.32</v>
      </c>
      <c r="AR24" s="5" t="s">
        <v>37</v>
      </c>
      <c r="AS24" s="5">
        <v>0.10299999999999999</v>
      </c>
      <c r="AT24" s="5">
        <v>6.75</v>
      </c>
      <c r="AU24" s="5">
        <v>87.94</v>
      </c>
      <c r="AV24" s="5">
        <v>977</v>
      </c>
      <c r="AW24" s="5">
        <v>19.882999999999999</v>
      </c>
      <c r="AX24" s="5">
        <v>132.69999999999999</v>
      </c>
      <c r="AY24" s="5">
        <v>2.4740000000000002</v>
      </c>
      <c r="AZ24" s="5">
        <v>1.55</v>
      </c>
      <c r="BA24" s="5">
        <v>0.53700000000000003</v>
      </c>
      <c r="BB24" s="5">
        <v>11.83</v>
      </c>
      <c r="BC24" s="5">
        <v>2.0299999999999998</v>
      </c>
      <c r="BD24" s="5">
        <v>0.97</v>
      </c>
      <c r="BE24" s="5">
        <v>0.53200000000000003</v>
      </c>
      <c r="BF24" s="5">
        <v>4.3999999999999997E-2</v>
      </c>
      <c r="BG24" s="5">
        <v>2.99</v>
      </c>
      <c r="BH24" s="5">
        <v>67.900000000000006</v>
      </c>
      <c r="BI24" s="5">
        <v>0.219</v>
      </c>
      <c r="BJ24" s="5">
        <v>0.18</v>
      </c>
      <c r="BK24" s="5">
        <v>1.93</v>
      </c>
      <c r="BL24" s="5">
        <v>4.41</v>
      </c>
      <c r="BM24" s="5">
        <v>576.6</v>
      </c>
      <c r="BN24" s="5">
        <v>1.7</v>
      </c>
      <c r="BO24" s="5">
        <v>0.94799999999999995</v>
      </c>
      <c r="BP24" s="5">
        <v>30.08</v>
      </c>
      <c r="BQ24" s="5">
        <v>0.51</v>
      </c>
      <c r="BR24" s="5">
        <v>38.5</v>
      </c>
      <c r="BS24" s="5">
        <v>1.4890000000000001</v>
      </c>
      <c r="BT24" s="5">
        <v>0.41</v>
      </c>
      <c r="BU24" s="5">
        <v>102.5</v>
      </c>
      <c r="BV24" s="5">
        <v>0.13500000000000001</v>
      </c>
      <c r="BW24" s="5">
        <v>0.36499999999999999</v>
      </c>
      <c r="BX24" s="5">
        <v>0.58799999999999997</v>
      </c>
      <c r="BY24" s="5">
        <v>3863</v>
      </c>
      <c r="BZ24" s="5">
        <v>0.252</v>
      </c>
      <c r="CA24" s="5">
        <v>0.22900000000000001</v>
      </c>
      <c r="CB24" s="5">
        <v>0.17599999999999999</v>
      </c>
      <c r="CC24" s="5">
        <v>203.3</v>
      </c>
      <c r="CD24" s="5">
        <v>13.98</v>
      </c>
      <c r="CE24" s="5">
        <v>14.07</v>
      </c>
      <c r="CF24" s="5">
        <v>1.4730000000000001</v>
      </c>
      <c r="CG24" s="5">
        <v>84</v>
      </c>
      <c r="CH24" s="5">
        <v>34</v>
      </c>
      <c r="CI24" s="23">
        <f>380*G24/N24</f>
        <v>1.254</v>
      </c>
      <c r="CJ24" s="23">
        <f>AE24*AP24/6.6</f>
        <v>25.955592611341057</v>
      </c>
      <c r="CK24" s="23">
        <f>AE24*BX24/0.0795</f>
        <v>8.0753645759300579</v>
      </c>
      <c r="CL24" s="23">
        <f>AE24*BK24/0.658</f>
        <v>3.202457363345502</v>
      </c>
      <c r="CM24" s="23">
        <f>AE24*BG24/0.648</f>
        <v>5.0378835362640002</v>
      </c>
      <c r="CN24" s="23">
        <f>AE24*AT24/1.675</f>
        <v>4.3998807143450778</v>
      </c>
      <c r="CO24" s="23">
        <f>AE24*BK24/1.25</f>
        <v>1.6857735560650724</v>
      </c>
      <c r="CP24" s="23">
        <f>AE24*BU24/19.9</f>
        <v>5.6237075759845192</v>
      </c>
      <c r="CQ24" s="23">
        <f>AE24*BS24/0.406</f>
        <v>4.0042446606933773</v>
      </c>
      <c r="CR24" s="23">
        <f>AE24*CH24/10.5</f>
        <v>3.5354244329023237</v>
      </c>
      <c r="CS24" s="23">
        <f>AE24*AG24/0.2</f>
        <v>3.337812319843815</v>
      </c>
      <c r="CT24" s="23">
        <f>AE24*BA24/0.154</f>
        <v>3.8071983699235585</v>
      </c>
      <c r="CU24" s="23">
        <f>AE24*BC24/0.544</f>
        <v>4.0742631805424425</v>
      </c>
      <c r="CV24" s="23">
        <f>AE24*AY24/0.674</f>
        <v>4.0076680264227464</v>
      </c>
      <c r="CW24" s="23">
        <f>AE24*AZ24/0.438</f>
        <v>3.8637545424043322</v>
      </c>
      <c r="CX24" s="23">
        <f>AE24*CF24/0.441</f>
        <v>3.646834866712271</v>
      </c>
      <c r="CY24" s="5" t="s">
        <v>146</v>
      </c>
      <c r="CZ24" s="5" t="s">
        <v>74</v>
      </c>
      <c r="DA24" s="5" t="s">
        <v>74</v>
      </c>
      <c r="DB24" s="23">
        <f t="shared" si="13"/>
        <v>0.3965712424787543</v>
      </c>
      <c r="DC24" s="23">
        <f t="shared" si="14"/>
        <v>2.2143488452522768</v>
      </c>
      <c r="DD24" s="31">
        <f>1000*BM24/G24</f>
        <v>582424.24242424243</v>
      </c>
      <c r="DE24" s="31">
        <f>1000*AX24/F24</f>
        <v>1895714.2857142854</v>
      </c>
      <c r="DF24" s="5">
        <v>7.0000000000000007E-2</v>
      </c>
      <c r="DG24" s="5">
        <v>0.99</v>
      </c>
      <c r="DH24" s="4"/>
      <c r="DI24" s="44"/>
      <c r="DJ24" s="5">
        <v>300</v>
      </c>
      <c r="DK24" s="4">
        <f t="shared" si="15"/>
        <v>1.378139850644942</v>
      </c>
      <c r="DN24" s="4">
        <f t="shared" si="16"/>
        <v>1.3814399939654523</v>
      </c>
      <c r="DO24" s="102">
        <f>1000*AX24/G24</f>
        <v>134040.40404040404</v>
      </c>
      <c r="DP24" s="102">
        <f>G24/F24</f>
        <v>14.142857142857141</v>
      </c>
      <c r="DQ24" s="4">
        <f>BM24/K24</f>
        <v>4.3451394122079883</v>
      </c>
    </row>
    <row r="25" spans="1:121" s="5" customFormat="1">
      <c r="A25" s="5" t="s">
        <v>147</v>
      </c>
      <c r="B25" s="5" t="s">
        <v>53</v>
      </c>
      <c r="C25" s="5">
        <v>310.55</v>
      </c>
      <c r="D25" s="5" t="s">
        <v>76</v>
      </c>
      <c r="E25" s="5">
        <v>1.1399999999999999</v>
      </c>
      <c r="F25" s="5">
        <v>0.04</v>
      </c>
      <c r="G25" s="5">
        <v>0.73</v>
      </c>
      <c r="H25" s="5">
        <v>0.62</v>
      </c>
      <c r="I25" s="5">
        <v>0.02</v>
      </c>
      <c r="J25" s="43">
        <v>0.04</v>
      </c>
      <c r="K25" s="5">
        <v>106.3</v>
      </c>
      <c r="L25" s="5">
        <v>2.41</v>
      </c>
      <c r="M25" s="5">
        <v>0.4</v>
      </c>
      <c r="N25" s="5">
        <f t="shared" si="0"/>
        <v>4000</v>
      </c>
      <c r="O25" s="23">
        <v>0.6</v>
      </c>
      <c r="P25" s="41">
        <f t="shared" si="21"/>
        <v>6666.666666666667</v>
      </c>
      <c r="Q25" s="5">
        <v>0.06</v>
      </c>
      <c r="R25" s="5">
        <v>14.44</v>
      </c>
      <c r="S25" s="5">
        <v>6.81</v>
      </c>
      <c r="T25" s="5">
        <v>12.42</v>
      </c>
      <c r="U25" s="5">
        <v>2.23</v>
      </c>
      <c r="V25" s="5">
        <v>11.74</v>
      </c>
      <c r="W25" s="5">
        <v>0.21</v>
      </c>
      <c r="X25" s="5">
        <v>1.66</v>
      </c>
      <c r="Y25" s="5">
        <v>7.0000000000000007E-2</v>
      </c>
      <c r="Z25" s="5">
        <v>42.83</v>
      </c>
      <c r="AA25" s="5">
        <v>0.82</v>
      </c>
      <c r="AB25" s="5">
        <v>6.17</v>
      </c>
      <c r="AC25" s="5">
        <f t="shared" si="1"/>
        <v>93.22999999999999</v>
      </c>
      <c r="AD25" s="5">
        <v>99.41</v>
      </c>
      <c r="AE25" s="23">
        <f t="shared" si="2"/>
        <v>1.0726161106939827</v>
      </c>
      <c r="AF25" s="23">
        <f t="shared" si="3"/>
        <v>45.940148021023276</v>
      </c>
      <c r="AG25" s="23">
        <f t="shared" si="4"/>
        <v>0.87954521076906578</v>
      </c>
      <c r="AH25" s="23">
        <f t="shared" si="5"/>
        <v>15.48857663842111</v>
      </c>
      <c r="AI25" s="23">
        <f t="shared" si="6"/>
        <v>12.592513139547357</v>
      </c>
      <c r="AJ25" s="23">
        <f t="shared" si="7"/>
        <v>0.22524938324573635</v>
      </c>
      <c r="AK25" s="23">
        <f t="shared" si="8"/>
        <v>13.321892094819265</v>
      </c>
      <c r="AL25" s="23">
        <f t="shared" si="9"/>
        <v>7.3045157138260217</v>
      </c>
      <c r="AM25" s="23">
        <f t="shared" si="10"/>
        <v>1.7805427437520112</v>
      </c>
      <c r="AN25" s="23">
        <f t="shared" si="11"/>
        <v>2.3919339268475812</v>
      </c>
      <c r="AO25" s="23">
        <f t="shared" si="12"/>
        <v>7.5083127748578796E-2</v>
      </c>
      <c r="AP25" s="5">
        <v>541.5</v>
      </c>
      <c r="AQ25" s="5">
        <v>0.85</v>
      </c>
      <c r="AR25" s="5">
        <v>0.26</v>
      </c>
      <c r="AS25" s="5">
        <v>0.09</v>
      </c>
      <c r="AT25" s="5">
        <v>12.74</v>
      </c>
      <c r="AU25" s="5">
        <v>80.959999999999994</v>
      </c>
      <c r="AV25" s="5">
        <v>647</v>
      </c>
      <c r="AW25" s="5">
        <v>12.316000000000001</v>
      </c>
      <c r="AX25" s="5">
        <v>106.3</v>
      </c>
      <c r="AY25" s="5">
        <v>3.9740000000000002</v>
      </c>
      <c r="AZ25" s="5">
        <v>2.448</v>
      </c>
      <c r="BA25" s="5">
        <v>0.81100000000000005</v>
      </c>
      <c r="BB25" s="5">
        <v>15.5</v>
      </c>
      <c r="BC25" s="5">
        <v>3.3370000000000002</v>
      </c>
      <c r="BD25" s="5">
        <v>1.57</v>
      </c>
      <c r="BE25" s="5">
        <v>0.84799999999999998</v>
      </c>
      <c r="BF25" s="5">
        <v>9.4E-2</v>
      </c>
      <c r="BG25" s="5">
        <v>6.28</v>
      </c>
      <c r="BH25" s="5">
        <v>47</v>
      </c>
      <c r="BI25" s="5">
        <v>0.34599999999999997</v>
      </c>
      <c r="BJ25" s="5">
        <v>0.33</v>
      </c>
      <c r="BK25" s="5">
        <v>3.2309999999999999</v>
      </c>
      <c r="BL25" s="5">
        <v>8.18</v>
      </c>
      <c r="BM25" s="5">
        <v>370.3</v>
      </c>
      <c r="BN25" s="5">
        <v>3.3</v>
      </c>
      <c r="BO25" s="5">
        <v>1.7190000000000001</v>
      </c>
      <c r="BP25" s="5">
        <v>75.58</v>
      </c>
      <c r="BQ25" s="5">
        <v>0.74</v>
      </c>
      <c r="BR25" s="5">
        <v>45.8</v>
      </c>
      <c r="BS25" s="5">
        <v>2.512</v>
      </c>
      <c r="BT25" s="5">
        <v>1.26</v>
      </c>
      <c r="BU25" s="5">
        <v>138.1</v>
      </c>
      <c r="BV25" s="5">
        <v>0.22500000000000001</v>
      </c>
      <c r="BW25" s="5">
        <v>0.59</v>
      </c>
      <c r="BX25" s="5">
        <v>1.048</v>
      </c>
      <c r="BY25" s="5">
        <v>5521</v>
      </c>
      <c r="BZ25" s="5">
        <v>0.69299999999999995</v>
      </c>
      <c r="CA25" s="5">
        <v>0.35499999999999998</v>
      </c>
      <c r="CB25" s="5">
        <v>0.29599999999999999</v>
      </c>
      <c r="CC25" s="5">
        <v>302.10000000000002</v>
      </c>
      <c r="CD25" s="5">
        <v>34</v>
      </c>
      <c r="CE25" s="5">
        <v>22.46</v>
      </c>
      <c r="CF25" s="5">
        <v>2.3159999999999998</v>
      </c>
      <c r="CG25" s="5">
        <v>96</v>
      </c>
      <c r="CH25" s="5">
        <v>56</v>
      </c>
      <c r="CI25" s="23">
        <f>380*G25/N25</f>
        <v>6.9349999999999995E-2</v>
      </c>
      <c r="CJ25" s="23">
        <f>AE25*AP25/6.6</f>
        <v>88.003276354665402</v>
      </c>
      <c r="CK25" s="23">
        <f>AE25*BX25/0.0795</f>
        <v>14.139643823991118</v>
      </c>
      <c r="CL25" s="23">
        <f>AE25*BK25/0.658</f>
        <v>5.2669037289547989</v>
      </c>
      <c r="CM25" s="23">
        <f>AE25*BG25/0.648</f>
        <v>10.395106751787363</v>
      </c>
      <c r="CN25" s="23">
        <f>AE25*AT25/1.675</f>
        <v>8.1582861195470677</v>
      </c>
      <c r="CO25" s="23">
        <f>AE25*BK25/1.25</f>
        <v>2.7724981229218062</v>
      </c>
      <c r="CP25" s="23">
        <f>AE25*BU25/19.9</f>
        <v>7.4436324063738191</v>
      </c>
      <c r="CQ25" s="23">
        <f>AE25*BS25/0.406</f>
        <v>6.636481945968681</v>
      </c>
      <c r="CR25" s="23">
        <f>AE25*CH25/10.5</f>
        <v>5.7206192570345742</v>
      </c>
      <c r="CS25" s="23">
        <f>AE25*AG25/0.2</f>
        <v>4.7170718157731724</v>
      </c>
      <c r="CT25" s="23">
        <f>AE25*BA25/0.154</f>
        <v>5.6486471803429872</v>
      </c>
      <c r="CU25" s="23">
        <f>AE25*BC25/0.544</f>
        <v>6.5796322819592277</v>
      </c>
      <c r="CV25" s="23">
        <f>AE25*AY25/0.674</f>
        <v>6.3242973648336607</v>
      </c>
      <c r="CW25" s="23">
        <f>AE25*AZ25/0.438</f>
        <v>5.9948955227828069</v>
      </c>
      <c r="CX25" s="23">
        <f>AE25*CF25/0.441</f>
        <v>5.6330587582024112</v>
      </c>
      <c r="CY25" s="5" t="s">
        <v>147</v>
      </c>
      <c r="CZ25" s="5" t="s">
        <v>76</v>
      </c>
      <c r="DA25" s="5" t="s">
        <v>76</v>
      </c>
      <c r="DB25" s="23">
        <f t="shared" si="13"/>
        <v>0.37249196617090879</v>
      </c>
      <c r="DC25" s="23">
        <f t="shared" si="14"/>
        <v>2.510118291133054</v>
      </c>
      <c r="DD25" s="31">
        <f>1000*BM25/G25</f>
        <v>507260.27397260274</v>
      </c>
      <c r="DE25" s="31">
        <f>1000*AX25/F25</f>
        <v>2657500</v>
      </c>
      <c r="DF25" s="5">
        <v>0.04</v>
      </c>
      <c r="DG25" s="5">
        <v>0.73</v>
      </c>
      <c r="DH25" s="4">
        <f>K25*38/M25/10000</f>
        <v>1.0098499999999999</v>
      </c>
      <c r="DI25" s="44"/>
      <c r="DJ25" s="5">
        <v>4000</v>
      </c>
      <c r="DK25" s="4">
        <f t="shared" si="15"/>
        <v>1.4408462867012091</v>
      </c>
      <c r="DN25" s="4">
        <f t="shared" si="16"/>
        <v>1.8453751679140284</v>
      </c>
      <c r="DO25" s="102">
        <f>1000*AX25/G25</f>
        <v>145616.43835616438</v>
      </c>
      <c r="DP25" s="102">
        <f>G25/F25</f>
        <v>18.25</v>
      </c>
      <c r="DQ25" s="4">
        <f>BM25/K25</f>
        <v>3.4835371589840078</v>
      </c>
    </row>
    <row r="26" spans="1:121" s="86" customFormat="1">
      <c r="A26" s="86" t="s">
        <v>148</v>
      </c>
      <c r="B26" s="86" t="s">
        <v>53</v>
      </c>
      <c r="C26" s="86">
        <v>323.3</v>
      </c>
      <c r="D26" s="86" t="s">
        <v>75</v>
      </c>
      <c r="E26" s="86">
        <v>0.56000000000000005</v>
      </c>
      <c r="F26" s="86">
        <v>0.02</v>
      </c>
      <c r="G26" s="86">
        <v>4.79</v>
      </c>
      <c r="H26" s="86">
        <v>0.39</v>
      </c>
      <c r="I26" s="87">
        <v>0.01</v>
      </c>
      <c r="J26" s="87">
        <v>0.04</v>
      </c>
      <c r="K26" s="86">
        <v>5.4</v>
      </c>
      <c r="L26" s="86" t="s">
        <v>162</v>
      </c>
      <c r="M26" s="86">
        <v>0.03</v>
      </c>
      <c r="N26" s="86">
        <f t="shared" si="0"/>
        <v>300</v>
      </c>
      <c r="O26" s="88" t="s">
        <v>166</v>
      </c>
      <c r="P26" s="89"/>
      <c r="Q26" s="86">
        <v>0.02</v>
      </c>
      <c r="R26" s="86">
        <v>14.57</v>
      </c>
      <c r="S26" s="86">
        <v>7.23</v>
      </c>
      <c r="T26" s="86">
        <v>16.079999999999998</v>
      </c>
      <c r="U26" s="86">
        <v>0.57999999999999996</v>
      </c>
      <c r="V26" s="86">
        <v>7.42</v>
      </c>
      <c r="W26" s="86">
        <v>0.24</v>
      </c>
      <c r="X26" s="86">
        <v>3.12</v>
      </c>
      <c r="Y26" s="86">
        <v>7.0000000000000007E-2</v>
      </c>
      <c r="Z26" s="86">
        <v>45.73</v>
      </c>
      <c r="AA26" s="86">
        <v>0.96</v>
      </c>
      <c r="AB26" s="86">
        <v>3.33</v>
      </c>
      <c r="AC26" s="86">
        <f t="shared" si="1"/>
        <v>95.999999999999986</v>
      </c>
      <c r="AD26" s="86">
        <v>99.32</v>
      </c>
      <c r="AE26" s="88">
        <f t="shared" si="2"/>
        <v>1.0416666666666667</v>
      </c>
      <c r="AF26" s="88">
        <f t="shared" si="3"/>
        <v>47.635416666666664</v>
      </c>
      <c r="AG26" s="88">
        <f t="shared" si="4"/>
        <v>1</v>
      </c>
      <c r="AH26" s="88">
        <f t="shared" si="5"/>
        <v>15.177083333333334</v>
      </c>
      <c r="AI26" s="88">
        <f t="shared" si="6"/>
        <v>7.729166666666667</v>
      </c>
      <c r="AJ26" s="88">
        <f t="shared" si="7"/>
        <v>0.25</v>
      </c>
      <c r="AK26" s="88">
        <f t="shared" si="8"/>
        <v>16.75</v>
      </c>
      <c r="AL26" s="88">
        <f t="shared" si="9"/>
        <v>7.5312500000000009</v>
      </c>
      <c r="AM26" s="88">
        <f t="shared" si="10"/>
        <v>3.2500000000000004</v>
      </c>
      <c r="AN26" s="88">
        <f t="shared" si="11"/>
        <v>0.60416666666666663</v>
      </c>
      <c r="AO26" s="88">
        <f t="shared" si="12"/>
        <v>7.2916666666666685E-2</v>
      </c>
      <c r="AP26" s="86">
        <v>145.1</v>
      </c>
      <c r="AQ26" s="86">
        <v>0.48</v>
      </c>
      <c r="AR26" s="86" t="s">
        <v>37</v>
      </c>
      <c r="AS26" s="86">
        <v>0.115</v>
      </c>
      <c r="AT26" s="86">
        <v>7.78</v>
      </c>
      <c r="AU26" s="86">
        <v>48.33</v>
      </c>
      <c r="AV26" s="86">
        <v>337</v>
      </c>
      <c r="AW26" s="86">
        <v>15.952</v>
      </c>
      <c r="AX26" s="86">
        <v>5.4</v>
      </c>
      <c r="AY26" s="86">
        <v>5.0250000000000004</v>
      </c>
      <c r="AZ26" s="86">
        <v>3.4649999999999999</v>
      </c>
      <c r="BA26" s="86">
        <v>0.78300000000000003</v>
      </c>
      <c r="BB26" s="86">
        <v>19.329999999999998</v>
      </c>
      <c r="BC26" s="86">
        <v>3.52</v>
      </c>
      <c r="BD26" s="86">
        <v>1.4</v>
      </c>
      <c r="BE26" s="86">
        <v>1.139</v>
      </c>
      <c r="BF26" s="86">
        <v>8.5999999999999993E-2</v>
      </c>
      <c r="BG26" s="86">
        <v>3.18</v>
      </c>
      <c r="BH26" s="86">
        <v>34.9</v>
      </c>
      <c r="BI26" s="86">
        <v>0.498</v>
      </c>
      <c r="BJ26" s="86">
        <v>0.35</v>
      </c>
      <c r="BK26" s="86">
        <v>3.23</v>
      </c>
      <c r="BL26" s="86">
        <v>5.47</v>
      </c>
      <c r="BM26" s="86">
        <v>71.599999999999994</v>
      </c>
      <c r="BN26" s="86">
        <v>0.6</v>
      </c>
      <c r="BO26" s="86">
        <v>1.1000000000000001</v>
      </c>
      <c r="BP26" s="86">
        <v>30.73</v>
      </c>
      <c r="BQ26" s="86">
        <v>0.2</v>
      </c>
      <c r="BR26" s="86">
        <v>58</v>
      </c>
      <c r="BS26" s="86">
        <v>2.0750000000000002</v>
      </c>
      <c r="BT26" s="86">
        <v>0.41</v>
      </c>
      <c r="BU26" s="86">
        <v>180.8</v>
      </c>
      <c r="BV26" s="86">
        <v>0.28000000000000003</v>
      </c>
      <c r="BW26" s="86">
        <v>0.70499999999999996</v>
      </c>
      <c r="BX26" s="86">
        <v>0.879</v>
      </c>
      <c r="BY26" s="86">
        <v>6337</v>
      </c>
      <c r="BZ26" s="86">
        <v>0.28299999999999997</v>
      </c>
      <c r="CA26" s="86">
        <v>0.51100000000000001</v>
      </c>
      <c r="CB26" s="86">
        <v>0.21299999999999999</v>
      </c>
      <c r="CC26" s="86">
        <v>320.8</v>
      </c>
      <c r="CD26" s="86">
        <v>65.52</v>
      </c>
      <c r="CE26" s="86">
        <v>30.41</v>
      </c>
      <c r="CF26" s="86">
        <v>3.331</v>
      </c>
      <c r="CG26" s="86">
        <v>122</v>
      </c>
      <c r="CH26" s="86">
        <v>46</v>
      </c>
      <c r="CI26" s="88">
        <f>380*G26/N26</f>
        <v>6.0673333333333339</v>
      </c>
      <c r="CJ26" s="88">
        <f>AE26*AP26/6.6</f>
        <v>22.900883838383841</v>
      </c>
      <c r="CK26" s="88">
        <f>AE26*BX26/0.0795</f>
        <v>11.517295597484276</v>
      </c>
      <c r="CL26" s="88">
        <f>AE26*BK26/0.658</f>
        <v>5.1133485309017228</v>
      </c>
      <c r="CM26" s="88">
        <f>AE26*BG26/0.648</f>
        <v>5.1118827160493829</v>
      </c>
      <c r="CN26" s="88">
        <f>AE26*AT26/1.675</f>
        <v>4.8383084577114435</v>
      </c>
      <c r="CO26" s="88">
        <f>AE26*BK26/1.25</f>
        <v>2.6916666666666669</v>
      </c>
      <c r="CP26" s="88">
        <f>AE26*BU26/19.9</f>
        <v>9.4639865996649934</v>
      </c>
      <c r="CQ26" s="88">
        <f>AE26*BS26/0.406</f>
        <v>5.3237889983579638</v>
      </c>
      <c r="CR26" s="88">
        <f>AE26*CH26/10.5</f>
        <v>4.5634920634920642</v>
      </c>
      <c r="CS26" s="88">
        <f>AE26*AG26/0.2</f>
        <v>5.208333333333333</v>
      </c>
      <c r="CT26" s="88">
        <f>AE26*BA26/0.154</f>
        <v>5.2962662337662341</v>
      </c>
      <c r="CU26" s="88">
        <f>AE26*BC26/0.544</f>
        <v>6.7401960784313726</v>
      </c>
      <c r="CV26" s="88">
        <f>AE26*AY26/0.674</f>
        <v>7.766135014836796</v>
      </c>
      <c r="CW26" s="88">
        <f>AE26*AZ26/0.438</f>
        <v>8.2405821917808222</v>
      </c>
      <c r="CX26" s="88">
        <f>AE26*CF26/0.441</f>
        <v>7.8680083144368869</v>
      </c>
      <c r="CY26" s="86" t="s">
        <v>148</v>
      </c>
      <c r="CZ26" s="86" t="s">
        <v>75</v>
      </c>
      <c r="DA26" s="86" t="s">
        <v>75</v>
      </c>
      <c r="DB26" s="88">
        <f t="shared" si="13"/>
        <v>0.44397128541344655</v>
      </c>
      <c r="DC26" s="88">
        <f t="shared" si="14"/>
        <v>1.4638133485892952</v>
      </c>
      <c r="DD26" s="89">
        <f>1000*BM26/G26</f>
        <v>14947.807933194154</v>
      </c>
      <c r="DE26" s="89">
        <f>1000*AX26/F26</f>
        <v>270000</v>
      </c>
      <c r="DF26" s="86">
        <v>0.02</v>
      </c>
      <c r="DG26" s="86">
        <v>4.79</v>
      </c>
      <c r="DH26" s="88">
        <f>K26*38/M26/10000</f>
        <v>0.68400000000000005</v>
      </c>
      <c r="DI26" s="88"/>
      <c r="DJ26" s="86">
        <v>300</v>
      </c>
      <c r="DK26" s="88">
        <f t="shared" si="15"/>
        <v>1.0567397178024618</v>
      </c>
      <c r="DN26" s="88">
        <f t="shared" si="16"/>
        <v>0.6497047933553487</v>
      </c>
      <c r="DO26" s="102">
        <f>1000*AX26/G26</f>
        <v>1127.348643006263</v>
      </c>
      <c r="DP26" s="102"/>
      <c r="DQ26" s="4"/>
    </row>
    <row r="27" spans="1:121" s="86" customFormat="1">
      <c r="A27" s="86" t="s">
        <v>149</v>
      </c>
      <c r="B27" s="86" t="s">
        <v>53</v>
      </c>
      <c r="C27" s="86">
        <v>330.55</v>
      </c>
      <c r="D27" s="86" t="s">
        <v>75</v>
      </c>
      <c r="E27" s="86">
        <v>0.9</v>
      </c>
      <c r="F27" s="87">
        <v>0.01</v>
      </c>
      <c r="G27" s="87">
        <v>0.12</v>
      </c>
      <c r="H27" s="87">
        <v>0.17</v>
      </c>
      <c r="I27" s="87">
        <v>0.01</v>
      </c>
      <c r="J27" s="87">
        <v>0.04</v>
      </c>
      <c r="K27" s="86">
        <v>40.200000000000003</v>
      </c>
      <c r="L27" s="86" t="s">
        <v>162</v>
      </c>
      <c r="M27" s="86">
        <v>0.45</v>
      </c>
      <c r="N27" s="86">
        <f t="shared" si="0"/>
        <v>4500</v>
      </c>
      <c r="O27" s="88">
        <v>0.8</v>
      </c>
      <c r="P27" s="89">
        <f t="shared" si="21"/>
        <v>5625</v>
      </c>
      <c r="Q27" s="86">
        <v>0.01</v>
      </c>
      <c r="R27" s="86">
        <v>12.43</v>
      </c>
      <c r="S27" s="86">
        <v>7.96</v>
      </c>
      <c r="T27" s="86">
        <v>19.71</v>
      </c>
      <c r="U27" s="86">
        <v>1.31</v>
      </c>
      <c r="V27" s="86">
        <v>6.62</v>
      </c>
      <c r="W27" s="86">
        <v>0.28999999999999998</v>
      </c>
      <c r="X27" s="86">
        <v>2</v>
      </c>
      <c r="Y27" s="86">
        <v>0.09</v>
      </c>
      <c r="Z27" s="86">
        <v>45.57</v>
      </c>
      <c r="AA27" s="86">
        <v>1.3</v>
      </c>
      <c r="AB27" s="86">
        <v>2.65</v>
      </c>
      <c r="AC27" s="86">
        <f t="shared" si="1"/>
        <v>97.28</v>
      </c>
      <c r="AD27" s="86">
        <v>99.94</v>
      </c>
      <c r="AE27" s="88">
        <f t="shared" si="2"/>
        <v>1.0279605263157894</v>
      </c>
      <c r="AF27" s="88">
        <f t="shared" si="3"/>
        <v>46.84416118421052</v>
      </c>
      <c r="AG27" s="88">
        <f t="shared" si="4"/>
        <v>1.3363486842105263</v>
      </c>
      <c r="AH27" s="88">
        <f t="shared" si="5"/>
        <v>12.777549342105262</v>
      </c>
      <c r="AI27" s="88">
        <f t="shared" si="6"/>
        <v>6.8050986842105257</v>
      </c>
      <c r="AJ27" s="88">
        <f t="shared" si="7"/>
        <v>0.29810855263157893</v>
      </c>
      <c r="AK27" s="88">
        <f t="shared" si="8"/>
        <v>20.261101973684209</v>
      </c>
      <c r="AL27" s="88">
        <f t="shared" si="9"/>
        <v>8.1825657894736832</v>
      </c>
      <c r="AM27" s="88">
        <f t="shared" si="10"/>
        <v>2.0559210526315788</v>
      </c>
      <c r="AN27" s="88">
        <f t="shared" si="11"/>
        <v>1.3466282894736841</v>
      </c>
      <c r="AO27" s="88">
        <f t="shared" si="12"/>
        <v>9.2516447368421045E-2</v>
      </c>
      <c r="AP27" s="86">
        <v>289.60000000000002</v>
      </c>
      <c r="AQ27" s="86">
        <v>0.27</v>
      </c>
      <c r="AR27" s="86" t="s">
        <v>37</v>
      </c>
      <c r="AS27" s="86">
        <v>0.128</v>
      </c>
      <c r="AT27" s="86">
        <v>10.65</v>
      </c>
      <c r="AU27" s="86">
        <v>91.66</v>
      </c>
      <c r="AV27" s="86">
        <v>7</v>
      </c>
      <c r="AW27" s="86">
        <v>87.665000000000006</v>
      </c>
      <c r="AX27" s="86">
        <v>40.200000000000003</v>
      </c>
      <c r="AY27" s="86">
        <v>6.2080000000000002</v>
      </c>
      <c r="AZ27" s="86">
        <v>4.1580000000000004</v>
      </c>
      <c r="BA27" s="86">
        <v>1.107</v>
      </c>
      <c r="BB27" s="86">
        <v>18.71</v>
      </c>
      <c r="BC27" s="86">
        <v>4.4580000000000002</v>
      </c>
      <c r="BD27" s="86">
        <v>1.77</v>
      </c>
      <c r="BE27" s="86">
        <v>1.381</v>
      </c>
      <c r="BF27" s="86">
        <v>9.2999999999999999E-2</v>
      </c>
      <c r="BG27" s="86">
        <v>4.67</v>
      </c>
      <c r="BH27" s="86">
        <v>22.4</v>
      </c>
      <c r="BI27" s="86">
        <v>0.59499999999999997</v>
      </c>
      <c r="BJ27" s="86">
        <v>0.28999999999999998</v>
      </c>
      <c r="BK27" s="86">
        <v>3.8220000000000001</v>
      </c>
      <c r="BL27" s="86">
        <v>7.15</v>
      </c>
      <c r="BM27" s="86">
        <v>24.8</v>
      </c>
      <c r="BN27" s="86">
        <v>0.8</v>
      </c>
      <c r="BO27" s="86">
        <v>1.4690000000000001</v>
      </c>
      <c r="BP27" s="86">
        <v>87.56</v>
      </c>
      <c r="BQ27" s="86">
        <v>0.14000000000000001</v>
      </c>
      <c r="BR27" s="86">
        <v>61.2</v>
      </c>
      <c r="BS27" s="86">
        <v>2.7709999999999999</v>
      </c>
      <c r="BT27" s="86">
        <v>0.45</v>
      </c>
      <c r="BU27" s="86">
        <v>153</v>
      </c>
      <c r="BV27" s="86">
        <v>0.307</v>
      </c>
      <c r="BW27" s="86">
        <v>0.871</v>
      </c>
      <c r="BX27" s="86">
        <v>0.872</v>
      </c>
      <c r="BY27" s="86">
        <v>8462</v>
      </c>
      <c r="BZ27" s="86">
        <v>0.96799999999999997</v>
      </c>
      <c r="CA27" s="86">
        <v>0.60799999999999998</v>
      </c>
      <c r="CB27" s="86">
        <v>0.23599999999999999</v>
      </c>
      <c r="CC27" s="86" t="s">
        <v>38</v>
      </c>
      <c r="CD27" s="86">
        <v>85.53</v>
      </c>
      <c r="CE27" s="86">
        <v>36.56</v>
      </c>
      <c r="CF27" s="86">
        <v>3.9039999999999999</v>
      </c>
      <c r="CG27" s="86">
        <v>145</v>
      </c>
      <c r="CH27" s="86">
        <v>61</v>
      </c>
      <c r="CI27" s="88">
        <f>380*G27/N27</f>
        <v>1.0133333333333334E-2</v>
      </c>
      <c r="CJ27" s="88">
        <f>AE27*AP27/6.6</f>
        <v>45.105661881977667</v>
      </c>
      <c r="CK27" s="88">
        <f>AE27*BX27/0.0795</f>
        <v>11.275239986759351</v>
      </c>
      <c r="CL27" s="88">
        <f>AE27*BK27/0.658</f>
        <v>5.9709196528555424</v>
      </c>
      <c r="CM27" s="88">
        <f>AE27*BG27/0.648</f>
        <v>7.4082957683560746</v>
      </c>
      <c r="CN27" s="88">
        <f>AE27*AT27/1.675</f>
        <v>6.5359878240377061</v>
      </c>
      <c r="CO27" s="88">
        <f>AE27*BK27/1.25</f>
        <v>3.1430921052631575</v>
      </c>
      <c r="CP27" s="88">
        <f>AE27*BU27/19.9</f>
        <v>7.9034151018249146</v>
      </c>
      <c r="CQ27" s="88">
        <f>AE27*BS27/0.406</f>
        <v>7.0159571882291925</v>
      </c>
      <c r="CR27" s="88">
        <f>AE27*CH27/10.5</f>
        <v>5.971961152882205</v>
      </c>
      <c r="CS27" s="88">
        <f>AE27*AG27/0.2</f>
        <v>6.868568483812326</v>
      </c>
      <c r="CT27" s="88">
        <f>AE27*BA27/0.154</f>
        <v>7.3893006664388228</v>
      </c>
      <c r="CU27" s="88">
        <f>AE27*BC27/0.544</f>
        <v>8.4239853424922586</v>
      </c>
      <c r="CV27" s="88">
        <f>AE27*AY27/0.674</f>
        <v>9.4682180228018105</v>
      </c>
      <c r="CW27" s="88">
        <f>AE27*AZ27/0.438</f>
        <v>9.7585841744772885</v>
      </c>
      <c r="CX27" s="88">
        <f>AE27*CF27/0.441</f>
        <v>9.1001312805824064</v>
      </c>
      <c r="CY27" s="86" t="s">
        <v>149</v>
      </c>
      <c r="CZ27" s="86" t="s">
        <v>75</v>
      </c>
      <c r="DA27" s="86" t="s">
        <v>75</v>
      </c>
      <c r="DB27" s="88">
        <f t="shared" si="13"/>
        <v>0.52956031622096422</v>
      </c>
      <c r="DC27" s="88">
        <f t="shared" si="14"/>
        <v>1.2390194865450048</v>
      </c>
      <c r="DD27" s="89">
        <f>1000*BM27/G27</f>
        <v>206666.66666666669</v>
      </c>
      <c r="DE27" s="89">
        <f>1000*AX27/F27</f>
        <v>4020000</v>
      </c>
      <c r="DF27" s="87">
        <v>0.01</v>
      </c>
      <c r="DG27" s="87">
        <v>0.06</v>
      </c>
      <c r="DH27" s="88">
        <f>K27*38/M27/10000</f>
        <v>0.33946666666666669</v>
      </c>
      <c r="DI27" s="88"/>
      <c r="DJ27" s="86">
        <v>4500</v>
      </c>
      <c r="DK27" s="88">
        <f t="shared" si="15"/>
        <v>1.1419057377049182</v>
      </c>
      <c r="DN27" s="88">
        <f t="shared" si="16"/>
        <v>0.81408669171220416</v>
      </c>
      <c r="DO27" s="102">
        <f>1000*AX27/G27</f>
        <v>335000</v>
      </c>
      <c r="DP27" s="102">
        <f>G27/F27</f>
        <v>12</v>
      </c>
      <c r="DQ27" s="4">
        <f>BM27/K27</f>
        <v>0.61691542288557211</v>
      </c>
    </row>
    <row r="28" spans="1:121" s="86" customFormat="1">
      <c r="A28" s="86" t="s">
        <v>232</v>
      </c>
      <c r="B28" s="86" t="s">
        <v>233</v>
      </c>
      <c r="C28" s="86">
        <v>335.2</v>
      </c>
      <c r="D28" s="86" t="s">
        <v>75</v>
      </c>
      <c r="E28" s="90">
        <v>3</v>
      </c>
      <c r="F28" s="90"/>
      <c r="G28" s="91">
        <v>1.4</v>
      </c>
      <c r="H28" s="91">
        <v>0.7</v>
      </c>
      <c r="K28" s="90">
        <v>266.10000000000002</v>
      </c>
      <c r="L28" s="88">
        <v>1.1733333333333333</v>
      </c>
      <c r="M28" s="92">
        <v>3.07</v>
      </c>
      <c r="N28" s="86">
        <f t="shared" si="0"/>
        <v>30700</v>
      </c>
      <c r="O28" s="92">
        <v>3.9</v>
      </c>
      <c r="P28" s="89">
        <f t="shared" si="21"/>
        <v>7871.7948717948721</v>
      </c>
      <c r="Q28" s="91" t="s">
        <v>211</v>
      </c>
      <c r="R28" s="92">
        <v>14.09</v>
      </c>
      <c r="S28" s="92">
        <v>3.8</v>
      </c>
      <c r="T28" s="92">
        <v>28.1</v>
      </c>
      <c r="U28" s="92">
        <v>0.13</v>
      </c>
      <c r="V28" s="92">
        <v>9.25</v>
      </c>
      <c r="W28" s="92">
        <v>0.24</v>
      </c>
      <c r="X28" s="92">
        <v>0.71</v>
      </c>
      <c r="Y28" s="92">
        <v>7.0000000000000007E-2</v>
      </c>
      <c r="Z28" s="92">
        <v>33.03</v>
      </c>
      <c r="AA28" s="92">
        <v>1.96</v>
      </c>
      <c r="AB28" s="91">
        <v>8.1999999999999993</v>
      </c>
      <c r="AC28" s="91">
        <f>SUM(R28:AA28)</f>
        <v>91.38000000000001</v>
      </c>
      <c r="AD28" s="92">
        <v>99.63</v>
      </c>
      <c r="AE28" s="92">
        <f>100/AC28</f>
        <v>1.0943313635368788</v>
      </c>
      <c r="AF28" s="92">
        <f>Z28*AE28</f>
        <v>36.145764937623106</v>
      </c>
      <c r="AG28" s="92">
        <f>AE28*AA28</f>
        <v>2.1448894725322822</v>
      </c>
      <c r="AH28" s="92">
        <f>AE28*R28</f>
        <v>15.419128912234621</v>
      </c>
      <c r="AI28" s="92">
        <f>AE28*V28</f>
        <v>10.122565112716128</v>
      </c>
      <c r="AJ28" s="92">
        <f>AE28*W28</f>
        <v>0.26263952724885087</v>
      </c>
      <c r="AK28" s="92">
        <f>AE28*T28</f>
        <v>30.750711315386294</v>
      </c>
      <c r="AL28" s="92">
        <f>AE28*S28</f>
        <v>4.158459181440139</v>
      </c>
      <c r="AM28" s="92">
        <f>AE28*X28</f>
        <v>0.77697526811118389</v>
      </c>
      <c r="AN28" s="92">
        <f>AE28*U28</f>
        <v>0.14226307725979426</v>
      </c>
      <c r="AO28" s="92">
        <f>AE28*Y28</f>
        <v>7.6603195447581526E-2</v>
      </c>
      <c r="AP28" s="90">
        <v>21</v>
      </c>
      <c r="AQ28" s="90">
        <v>1</v>
      </c>
      <c r="AR28" s="91" t="s">
        <v>206</v>
      </c>
      <c r="AS28" s="91">
        <v>0.3</v>
      </c>
      <c r="AT28" s="91">
        <v>8.8000000000000007</v>
      </c>
      <c r="AU28" s="91">
        <v>132.4</v>
      </c>
      <c r="AV28" s="90">
        <v>3</v>
      </c>
      <c r="AW28" s="91">
        <v>6.5</v>
      </c>
      <c r="AX28" s="91">
        <v>266</v>
      </c>
      <c r="AY28" s="92">
        <v>6.3</v>
      </c>
      <c r="AZ28" s="88">
        <v>3.3</v>
      </c>
      <c r="BA28" s="92">
        <v>0.86</v>
      </c>
      <c r="BB28" s="91">
        <v>31.6</v>
      </c>
      <c r="BC28" s="92">
        <v>3.94</v>
      </c>
      <c r="BD28" s="91">
        <v>1.7</v>
      </c>
      <c r="BE28" s="92">
        <v>0.72</v>
      </c>
      <c r="BG28" s="91">
        <v>4.8</v>
      </c>
      <c r="BI28" s="92">
        <v>0.43</v>
      </c>
      <c r="BJ28" s="91">
        <v>0.3</v>
      </c>
      <c r="BK28" s="93">
        <v>4.7</v>
      </c>
      <c r="BL28" s="91">
        <v>5.3</v>
      </c>
      <c r="BM28" s="90">
        <v>35</v>
      </c>
      <c r="BN28" s="91">
        <v>62.1</v>
      </c>
      <c r="BO28" s="92">
        <v>1.27</v>
      </c>
      <c r="BP28" s="91">
        <v>4.8</v>
      </c>
      <c r="BQ28" s="91" t="s">
        <v>206</v>
      </c>
      <c r="BR28" s="90">
        <v>35</v>
      </c>
      <c r="BS28" s="92">
        <v>1.9</v>
      </c>
      <c r="BT28" s="90" t="s">
        <v>205</v>
      </c>
      <c r="BU28" s="91">
        <v>34.6</v>
      </c>
      <c r="BV28" s="91">
        <v>0.2</v>
      </c>
      <c r="BW28" s="92">
        <v>0.82</v>
      </c>
      <c r="BX28" s="91">
        <v>0.7</v>
      </c>
      <c r="BY28" s="94"/>
      <c r="BZ28" s="94"/>
      <c r="CA28" s="92">
        <v>0.49</v>
      </c>
      <c r="CB28" s="91">
        <v>0.1</v>
      </c>
      <c r="CC28" s="90">
        <v>833</v>
      </c>
      <c r="CD28" s="91">
        <v>0.7</v>
      </c>
      <c r="CE28" s="91">
        <v>34.9</v>
      </c>
      <c r="CF28" s="92">
        <v>2.83</v>
      </c>
      <c r="CG28" s="90">
        <v>162</v>
      </c>
      <c r="CH28" s="91">
        <v>53.9</v>
      </c>
      <c r="CI28" s="94"/>
      <c r="CJ28" s="94"/>
      <c r="CK28" s="94" t="s">
        <v>234</v>
      </c>
      <c r="CP28" s="91">
        <v>0.2</v>
      </c>
      <c r="CQ28" s="91">
        <v>0.6</v>
      </c>
      <c r="CR28" s="91" t="s">
        <v>207</v>
      </c>
      <c r="CS28" s="91">
        <v>0.3</v>
      </c>
      <c r="CT28" s="90">
        <v>21</v>
      </c>
      <c r="CU28" s="90">
        <v>548</v>
      </c>
      <c r="CX28" s="90">
        <v>4</v>
      </c>
      <c r="CY28" s="94">
        <v>0.30099999999999999</v>
      </c>
      <c r="CZ28" s="95" t="s">
        <v>208</v>
      </c>
      <c r="DA28" s="91">
        <v>0.2</v>
      </c>
      <c r="DB28" s="92"/>
      <c r="DC28" s="91">
        <v>2.2000000000000002</v>
      </c>
      <c r="DD28" s="91">
        <v>2.2000000000000002</v>
      </c>
      <c r="DE28" s="90"/>
      <c r="DF28" s="96" t="s">
        <v>213</v>
      </c>
      <c r="DG28" s="92"/>
      <c r="DH28" s="88">
        <f>K28*38/M28/10000</f>
        <v>0.32937459283387627</v>
      </c>
      <c r="DI28" s="96" t="s">
        <v>213</v>
      </c>
      <c r="DJ28" s="96" t="s">
        <v>213</v>
      </c>
      <c r="DK28" s="88">
        <f t="shared" si="15"/>
        <v>1.3922261484098939</v>
      </c>
      <c r="DL28" s="89">
        <v>6410.2564102564102</v>
      </c>
      <c r="DN28" s="88"/>
      <c r="DO28" s="102">
        <f>1000*AX28/G28</f>
        <v>190000</v>
      </c>
      <c r="DP28" s="102" t="e">
        <f>G28/F28</f>
        <v>#DIV/0!</v>
      </c>
      <c r="DQ28" s="4">
        <f>BM28/K28</f>
        <v>0.13152950018789927</v>
      </c>
    </row>
    <row r="29" spans="1:121" s="86" customFormat="1">
      <c r="A29" s="86" t="s">
        <v>150</v>
      </c>
      <c r="B29" s="86" t="s">
        <v>53</v>
      </c>
      <c r="C29" s="86">
        <v>345.4</v>
      </c>
      <c r="D29" s="86" t="s">
        <v>75</v>
      </c>
      <c r="E29" s="86">
        <v>0.59</v>
      </c>
      <c r="F29" s="87">
        <v>0.01</v>
      </c>
      <c r="G29" s="87">
        <v>0.12</v>
      </c>
      <c r="H29" s="87">
        <v>0.17</v>
      </c>
      <c r="I29" s="87">
        <v>0.01</v>
      </c>
      <c r="J29" s="87">
        <v>0.04</v>
      </c>
      <c r="K29" s="86">
        <v>53.2</v>
      </c>
      <c r="L29" s="86">
        <v>0.11</v>
      </c>
      <c r="M29" s="86">
        <v>0.01</v>
      </c>
      <c r="N29" s="86">
        <f t="shared" si="0"/>
        <v>100</v>
      </c>
      <c r="O29" s="88" t="s">
        <v>166</v>
      </c>
      <c r="P29" s="89"/>
      <c r="Q29" s="86" t="s">
        <v>159</v>
      </c>
      <c r="R29" s="86">
        <v>14.01</v>
      </c>
      <c r="S29" s="86">
        <v>11.99</v>
      </c>
      <c r="T29" s="86">
        <v>10.08</v>
      </c>
      <c r="U29" s="86">
        <v>0.43</v>
      </c>
      <c r="V29" s="86">
        <v>8.69</v>
      </c>
      <c r="W29" s="86">
        <v>0.2</v>
      </c>
      <c r="X29" s="86">
        <v>2.6</v>
      </c>
      <c r="Y29" s="86">
        <v>0.05</v>
      </c>
      <c r="Z29" s="86">
        <v>47.79</v>
      </c>
      <c r="AA29" s="86">
        <v>0.67</v>
      </c>
      <c r="AB29" s="86">
        <v>2.99</v>
      </c>
      <c r="AC29" s="86">
        <f t="shared" si="1"/>
        <v>96.51</v>
      </c>
      <c r="AD29" s="86">
        <v>99.49</v>
      </c>
      <c r="AE29" s="88">
        <f t="shared" si="2"/>
        <v>1.0361620557455185</v>
      </c>
      <c r="AF29" s="88">
        <f t="shared" si="3"/>
        <v>49.518184644078325</v>
      </c>
      <c r="AG29" s="88">
        <f t="shared" si="4"/>
        <v>0.69422857734949739</v>
      </c>
      <c r="AH29" s="88">
        <f t="shared" si="5"/>
        <v>14.516630400994714</v>
      </c>
      <c r="AI29" s="88">
        <f t="shared" si="6"/>
        <v>9.0042482644285542</v>
      </c>
      <c r="AJ29" s="88">
        <f t="shared" si="7"/>
        <v>0.20723241114910371</v>
      </c>
      <c r="AK29" s="88">
        <f t="shared" si="8"/>
        <v>10.444513521914827</v>
      </c>
      <c r="AL29" s="88">
        <f t="shared" si="9"/>
        <v>12.423583048388766</v>
      </c>
      <c r="AM29" s="88">
        <f t="shared" si="10"/>
        <v>2.6940213449383479</v>
      </c>
      <c r="AN29" s="88">
        <f t="shared" si="11"/>
        <v>0.44554968397057293</v>
      </c>
      <c r="AO29" s="88">
        <f t="shared" si="12"/>
        <v>5.1808102787275927E-2</v>
      </c>
      <c r="AP29" s="86">
        <v>250</v>
      </c>
      <c r="AQ29" s="86">
        <v>0.23</v>
      </c>
      <c r="AR29" s="86" t="s">
        <v>37</v>
      </c>
      <c r="AS29" s="86">
        <v>8.6999999999999994E-2</v>
      </c>
      <c r="AT29" s="86">
        <v>6.11</v>
      </c>
      <c r="AU29" s="86">
        <v>68.94</v>
      </c>
      <c r="AV29" s="86">
        <v>170</v>
      </c>
      <c r="AW29" s="86">
        <v>5.8330000000000002</v>
      </c>
      <c r="AX29" s="86">
        <v>53.2</v>
      </c>
      <c r="AY29" s="86">
        <v>3.9990000000000001</v>
      </c>
      <c r="AZ29" s="86">
        <v>2.665</v>
      </c>
      <c r="BA29" s="86">
        <v>0.71499999999999997</v>
      </c>
      <c r="BB29" s="86">
        <v>14.29</v>
      </c>
      <c r="BC29" s="86">
        <v>2.871</v>
      </c>
      <c r="BD29" s="86">
        <v>1.0900000000000001</v>
      </c>
      <c r="BE29" s="86">
        <v>0.89100000000000001</v>
      </c>
      <c r="BF29" s="86">
        <v>5.8999999999999997E-2</v>
      </c>
      <c r="BG29" s="86">
        <v>2.71</v>
      </c>
      <c r="BH29" s="86">
        <v>44.9</v>
      </c>
      <c r="BI29" s="86">
        <v>0.377</v>
      </c>
      <c r="BJ29" s="86">
        <v>0.16</v>
      </c>
      <c r="BK29" s="86">
        <v>2.2509999999999999</v>
      </c>
      <c r="BL29" s="86">
        <v>4.2300000000000004</v>
      </c>
      <c r="BM29" s="86">
        <v>77.099999999999994</v>
      </c>
      <c r="BN29" s="86">
        <v>0.6</v>
      </c>
      <c r="BO29" s="86">
        <v>0.85099999999999998</v>
      </c>
      <c r="BP29" s="86">
        <v>15.19</v>
      </c>
      <c r="BQ29" s="86">
        <v>0.14000000000000001</v>
      </c>
      <c r="BR29" s="86">
        <v>69</v>
      </c>
      <c r="BS29" s="86">
        <v>1.7050000000000001</v>
      </c>
      <c r="BT29" s="86">
        <v>0.37</v>
      </c>
      <c r="BU29" s="86">
        <v>234.7</v>
      </c>
      <c r="BV29" s="86">
        <v>0.23300000000000001</v>
      </c>
      <c r="BW29" s="86">
        <v>0.56200000000000006</v>
      </c>
      <c r="BX29" s="86">
        <v>0.499</v>
      </c>
      <c r="BY29" s="86">
        <v>4406</v>
      </c>
      <c r="BZ29" s="86">
        <v>7.8E-2</v>
      </c>
      <c r="CA29" s="86">
        <v>0.39200000000000002</v>
      </c>
      <c r="CB29" s="86">
        <v>0.13400000000000001</v>
      </c>
      <c r="CC29" s="86">
        <v>302.7</v>
      </c>
      <c r="CD29" s="86" t="s">
        <v>40</v>
      </c>
      <c r="CE29" s="86">
        <v>23.52</v>
      </c>
      <c r="CF29" s="86">
        <v>2.556</v>
      </c>
      <c r="CG29" s="86">
        <v>66</v>
      </c>
      <c r="CH29" s="86">
        <v>37</v>
      </c>
      <c r="CI29" s="88">
        <f>380*G29/N29</f>
        <v>0.45600000000000002</v>
      </c>
      <c r="CJ29" s="88">
        <f>AE29*AP29/6.6</f>
        <v>39.248562717633277</v>
      </c>
      <c r="CK29" s="88">
        <f>AE29*BX29/0.0795</f>
        <v>6.503709003987594</v>
      </c>
      <c r="CL29" s="88">
        <f>AE29*BK29/0.658</f>
        <v>3.5446820478467505</v>
      </c>
      <c r="CM29" s="88">
        <f>AE29*BG29/0.648</f>
        <v>4.3333320541209179</v>
      </c>
      <c r="CN29" s="88">
        <f>AE29*AT29/1.675</f>
        <v>3.7796717376746973</v>
      </c>
      <c r="CO29" s="88">
        <f>AE29*BK29/1.25</f>
        <v>1.8659206299865296</v>
      </c>
      <c r="CP29" s="88">
        <f>AE29*BU29/19.9</f>
        <v>12.220464044395637</v>
      </c>
      <c r="CQ29" s="88">
        <f>AE29*BS29/0.406</f>
        <v>4.351370209473175</v>
      </c>
      <c r="CR29" s="88">
        <f>AE29*CH29/10.5</f>
        <v>3.6512377202461126</v>
      </c>
      <c r="CS29" s="88">
        <f>AE29*AG29/0.2</f>
        <v>3.5966665493187091</v>
      </c>
      <c r="CT29" s="88">
        <f>AE29*BA29/0.154</f>
        <v>4.8107524016756207</v>
      </c>
      <c r="CU29" s="88">
        <f>AE29*BC29/0.544</f>
        <v>5.4684214375834257</v>
      </c>
      <c r="CV29" s="88">
        <f>AE29*AY29/0.674</f>
        <v>6.1477923752616137</v>
      </c>
      <c r="CW29" s="88">
        <f>AE29*AZ29/0.438</f>
        <v>6.3045020058488745</v>
      </c>
      <c r="CX29" s="88">
        <f>AE29*CF29/0.441</f>
        <v>6.0055106904434128</v>
      </c>
      <c r="CY29" s="86" t="s">
        <v>150</v>
      </c>
      <c r="CZ29" s="86" t="s">
        <v>75</v>
      </c>
      <c r="DA29" s="86" t="s">
        <v>75</v>
      </c>
      <c r="DB29" s="88">
        <f t="shared" si="13"/>
        <v>0.54502469985563828</v>
      </c>
      <c r="DC29" s="88">
        <f t="shared" si="14"/>
        <v>1.0829568606608204</v>
      </c>
      <c r="DD29" s="89">
        <f>1000*BM29/G29</f>
        <v>642500</v>
      </c>
      <c r="DE29" s="89">
        <f>1000*AX29/F29</f>
        <v>5320000</v>
      </c>
      <c r="DF29" s="87">
        <v>0.01</v>
      </c>
      <c r="DG29" s="87">
        <v>0.06</v>
      </c>
      <c r="DH29" s="88"/>
      <c r="DI29" s="88"/>
      <c r="DJ29" s="86">
        <v>100</v>
      </c>
      <c r="DK29" s="88">
        <f t="shared" si="15"/>
        <v>1.1232394366197183</v>
      </c>
      <c r="DN29" s="88">
        <f t="shared" si="16"/>
        <v>0.72155929403581986</v>
      </c>
      <c r="DO29" s="102">
        <f>1000*AX29/G29</f>
        <v>443333.33333333337</v>
      </c>
      <c r="DP29" s="102">
        <f>G29/F29</f>
        <v>12</v>
      </c>
      <c r="DQ29" s="4">
        <f>BM29/K29</f>
        <v>1.4492481203007517</v>
      </c>
    </row>
    <row r="30" spans="1:121" s="86" customFormat="1">
      <c r="A30" s="86" t="s">
        <v>151</v>
      </c>
      <c r="B30" s="86" t="s">
        <v>53</v>
      </c>
      <c r="C30" s="86">
        <v>356</v>
      </c>
      <c r="D30" s="86" t="s">
        <v>75</v>
      </c>
      <c r="E30" s="86">
        <v>0.47</v>
      </c>
      <c r="F30" s="87">
        <v>0.01</v>
      </c>
      <c r="G30" s="87">
        <v>0.12</v>
      </c>
      <c r="H30" s="87">
        <v>0.17</v>
      </c>
      <c r="I30" s="87">
        <v>0.01</v>
      </c>
      <c r="J30" s="87">
        <v>0.04</v>
      </c>
      <c r="K30" s="86">
        <v>66.599999999999994</v>
      </c>
      <c r="L30" s="86">
        <v>0.08</v>
      </c>
      <c r="M30" s="86">
        <v>0.05</v>
      </c>
      <c r="N30" s="86">
        <f t="shared" si="0"/>
        <v>500</v>
      </c>
      <c r="O30" s="88" t="s">
        <v>166</v>
      </c>
      <c r="P30" s="89"/>
      <c r="Q30" s="86" t="s">
        <v>159</v>
      </c>
      <c r="R30" s="86">
        <v>12.23</v>
      </c>
      <c r="S30" s="86">
        <v>12.23</v>
      </c>
      <c r="T30" s="86">
        <v>10.68</v>
      </c>
      <c r="U30" s="86">
        <v>0.99</v>
      </c>
      <c r="V30" s="86">
        <v>11.17</v>
      </c>
      <c r="W30" s="86">
        <v>0.24</v>
      </c>
      <c r="X30" s="86">
        <v>1.63</v>
      </c>
      <c r="Y30" s="86">
        <v>0.05</v>
      </c>
      <c r="Z30" s="86">
        <v>47.48</v>
      </c>
      <c r="AA30" s="86">
        <v>0.7</v>
      </c>
      <c r="AB30" s="86">
        <v>2.76</v>
      </c>
      <c r="AC30" s="86">
        <f t="shared" si="1"/>
        <v>97.4</v>
      </c>
      <c r="AD30" s="86">
        <v>100.15</v>
      </c>
      <c r="AE30" s="88">
        <f t="shared" si="2"/>
        <v>1.0266940451745379</v>
      </c>
      <c r="AF30" s="88">
        <f t="shared" si="3"/>
        <v>48.747433264887057</v>
      </c>
      <c r="AG30" s="88">
        <f t="shared" si="4"/>
        <v>0.71868583162217647</v>
      </c>
      <c r="AH30" s="88">
        <f t="shared" si="5"/>
        <v>12.556468172484598</v>
      </c>
      <c r="AI30" s="88">
        <f t="shared" si="6"/>
        <v>11.468172484599588</v>
      </c>
      <c r="AJ30" s="88">
        <f t="shared" si="7"/>
        <v>0.24640657084188908</v>
      </c>
      <c r="AK30" s="88">
        <f t="shared" si="8"/>
        <v>10.965092402464064</v>
      </c>
      <c r="AL30" s="88">
        <f t="shared" si="9"/>
        <v>12.556468172484598</v>
      </c>
      <c r="AM30" s="88">
        <f t="shared" si="10"/>
        <v>1.6735112936344967</v>
      </c>
      <c r="AN30" s="88">
        <f t="shared" si="11"/>
        <v>1.0164271047227924</v>
      </c>
      <c r="AO30" s="88">
        <f t="shared" si="12"/>
        <v>5.1334702258726897E-2</v>
      </c>
      <c r="AP30" s="86">
        <v>401.8</v>
      </c>
      <c r="AQ30" s="86">
        <v>0.16</v>
      </c>
      <c r="AR30" s="86" t="s">
        <v>37</v>
      </c>
      <c r="AS30" s="86">
        <v>0.114</v>
      </c>
      <c r="AT30" s="86">
        <v>5.67</v>
      </c>
      <c r="AU30" s="86">
        <v>67.03</v>
      </c>
      <c r="AV30" s="86">
        <v>494</v>
      </c>
      <c r="AW30" s="86">
        <v>8.93</v>
      </c>
      <c r="AX30" s="86">
        <v>66.599999999999994</v>
      </c>
      <c r="AY30" s="86">
        <v>4.0259999999999998</v>
      </c>
      <c r="AZ30" s="86">
        <v>2.6840000000000002</v>
      </c>
      <c r="BA30" s="86">
        <v>0.64900000000000002</v>
      </c>
      <c r="BB30" s="86">
        <v>12</v>
      </c>
      <c r="BC30" s="86">
        <v>2.8109999999999999</v>
      </c>
      <c r="BD30" s="86">
        <v>1.02</v>
      </c>
      <c r="BE30" s="86">
        <v>0.9</v>
      </c>
      <c r="BF30" s="86">
        <v>5.7000000000000002E-2</v>
      </c>
      <c r="BG30" s="86">
        <v>2.4700000000000002</v>
      </c>
      <c r="BH30" s="86">
        <v>50.6</v>
      </c>
      <c r="BI30" s="86">
        <v>0.373</v>
      </c>
      <c r="BJ30" s="86">
        <v>0.14000000000000001</v>
      </c>
      <c r="BK30" s="86">
        <v>2.0960000000000001</v>
      </c>
      <c r="BL30" s="86">
        <v>4.09</v>
      </c>
      <c r="BM30" s="86">
        <v>126.8</v>
      </c>
      <c r="BN30" s="86">
        <v>1.4</v>
      </c>
      <c r="BO30" s="86">
        <v>0.82799999999999996</v>
      </c>
      <c r="BP30" s="86">
        <v>38.19</v>
      </c>
      <c r="BQ30" s="86">
        <v>0.4</v>
      </c>
      <c r="BR30" s="86">
        <v>86</v>
      </c>
      <c r="BS30" s="86">
        <v>1.6439999999999999</v>
      </c>
      <c r="BT30" s="86">
        <v>0.33</v>
      </c>
      <c r="BU30" s="86">
        <v>194.6</v>
      </c>
      <c r="BV30" s="86">
        <v>0.188</v>
      </c>
      <c r="BW30" s="86">
        <v>0.55600000000000005</v>
      </c>
      <c r="BX30" s="86">
        <v>0.43</v>
      </c>
      <c r="BY30" s="86">
        <v>4480</v>
      </c>
      <c r="BZ30" s="86">
        <v>0.185</v>
      </c>
      <c r="CA30" s="86">
        <v>0.39300000000000002</v>
      </c>
      <c r="CB30" s="86">
        <v>0.121</v>
      </c>
      <c r="CC30" s="86">
        <v>359.3</v>
      </c>
      <c r="CD30" s="86">
        <v>93.22</v>
      </c>
      <c r="CE30" s="86">
        <v>23.78</v>
      </c>
      <c r="CF30" s="86">
        <v>2.4940000000000002</v>
      </c>
      <c r="CG30" s="86">
        <v>71</v>
      </c>
      <c r="CH30" s="86">
        <v>33</v>
      </c>
      <c r="CI30" s="88">
        <f>380*G30/N30</f>
        <v>9.1200000000000003E-2</v>
      </c>
      <c r="CJ30" s="88">
        <f>AE30*AP30/6.6</f>
        <v>62.503888992595364</v>
      </c>
      <c r="CK30" s="88">
        <f>AE30*BX30/0.0795</f>
        <v>5.5531879172962419</v>
      </c>
      <c r="CL30" s="88">
        <f>AE30*BK30/0.658</f>
        <v>3.2704418217109898</v>
      </c>
      <c r="CM30" s="88">
        <f>AE30*BG30/0.648</f>
        <v>3.913478845032575</v>
      </c>
      <c r="CN30" s="88">
        <f>AE30*AT30/1.675</f>
        <v>3.475435961874406</v>
      </c>
      <c r="CO30" s="88">
        <f>AE30*BK30/1.25</f>
        <v>1.7215605749486653</v>
      </c>
      <c r="CP30" s="88">
        <f>AE30*BU30/19.9</f>
        <v>10.039932723164075</v>
      </c>
      <c r="CQ30" s="88">
        <f>AE30*BS30/0.406</f>
        <v>4.1573522420367981</v>
      </c>
      <c r="CR30" s="88">
        <f>AE30*CH30/10.5</f>
        <v>3.2267527134056904</v>
      </c>
      <c r="CS30" s="88">
        <f>AE30*AG30/0.2</f>
        <v>3.6893523183889956</v>
      </c>
      <c r="CT30" s="88">
        <f>AE30*BA30/0.154</f>
        <v>4.3267820475212675</v>
      </c>
      <c r="CU30" s="88">
        <f>AE30*BC30/0.544</f>
        <v>5.3052150018118125</v>
      </c>
      <c r="CV30" s="88">
        <f>AE30*AY30/0.674</f>
        <v>6.132745142244346</v>
      </c>
      <c r="CW30" s="88">
        <f>AE30*AZ30/0.438</f>
        <v>6.2914310896083565</v>
      </c>
      <c r="CX30" s="88">
        <f>AE30*CF30/0.441</f>
        <v>5.8062924006015821</v>
      </c>
      <c r="CY30" s="86" t="s">
        <v>151</v>
      </c>
      <c r="CZ30" s="86" t="s">
        <v>75</v>
      </c>
      <c r="DA30" s="86" t="s">
        <v>75</v>
      </c>
      <c r="DB30" s="88">
        <f t="shared" si="13"/>
        <v>0.58893051530359797</v>
      </c>
      <c r="DC30" s="88">
        <f t="shared" si="14"/>
        <v>0.95640858815875063</v>
      </c>
      <c r="DD30" s="89">
        <f>1000*BM30/G30</f>
        <v>1056666.6666666667</v>
      </c>
      <c r="DE30" s="89">
        <f>1000*AX30/F30</f>
        <v>6660000</v>
      </c>
      <c r="DF30" s="87">
        <v>0.01</v>
      </c>
      <c r="DG30" s="87">
        <v>0.06</v>
      </c>
      <c r="DH30" s="88">
        <f>K30*38/M30/10000</f>
        <v>5.0615999999999994</v>
      </c>
      <c r="DI30" s="88"/>
      <c r="DJ30" s="86">
        <v>500</v>
      </c>
      <c r="DK30" s="88">
        <f t="shared" si="15"/>
        <v>1.1271050521251</v>
      </c>
      <c r="DN30" s="88">
        <f t="shared" si="16"/>
        <v>0.67400650449968813</v>
      </c>
      <c r="DO30" s="102">
        <f>1000*AX30/G30</f>
        <v>555000</v>
      </c>
      <c r="DP30" s="102">
        <f>G30/F30</f>
        <v>12</v>
      </c>
      <c r="DQ30" s="4">
        <f>BM30/K30</f>
        <v>1.9039039039039041</v>
      </c>
    </row>
    <row r="31" spans="1:121" s="97" customFormat="1" ht="15">
      <c r="A31" s="86" t="s">
        <v>235</v>
      </c>
      <c r="B31" s="86" t="s">
        <v>233</v>
      </c>
      <c r="C31" s="86">
        <v>356.3</v>
      </c>
      <c r="D31" s="86" t="s">
        <v>75</v>
      </c>
      <c r="E31" s="90">
        <v>3</v>
      </c>
      <c r="F31" s="90"/>
      <c r="G31" s="91">
        <v>1</v>
      </c>
      <c r="H31" s="91">
        <v>0.5</v>
      </c>
      <c r="I31" s="86"/>
      <c r="J31" s="86"/>
      <c r="K31" s="90">
        <v>85.2</v>
      </c>
      <c r="L31" s="88">
        <v>0.25666666666666665</v>
      </c>
      <c r="M31" s="92">
        <v>0.18</v>
      </c>
      <c r="N31" s="86">
        <f t="shared" si="0"/>
        <v>1800</v>
      </c>
      <c r="O31" s="92">
        <v>0.28100000000000003</v>
      </c>
      <c r="P31" s="89">
        <f t="shared" si="21"/>
        <v>6405.6939501779352</v>
      </c>
      <c r="Q31" s="91">
        <v>5.0000000000000001E-3</v>
      </c>
      <c r="R31" s="92">
        <v>13.67</v>
      </c>
      <c r="S31" s="92">
        <v>10.78</v>
      </c>
      <c r="T31" s="92">
        <v>9.9</v>
      </c>
      <c r="U31" s="92">
        <v>1.74</v>
      </c>
      <c r="V31" s="92">
        <v>10.08</v>
      </c>
      <c r="W31" s="92">
        <v>0.2</v>
      </c>
      <c r="X31" s="92">
        <v>1.74</v>
      </c>
      <c r="Y31" s="92">
        <v>0.01</v>
      </c>
      <c r="Z31" s="92">
        <v>47.71</v>
      </c>
      <c r="AA31" s="92">
        <v>0.56000000000000005</v>
      </c>
      <c r="AB31" s="91">
        <v>3.2</v>
      </c>
      <c r="AC31" s="91">
        <f>SUM(R31:AA31)</f>
        <v>96.390000000000015</v>
      </c>
      <c r="AD31" s="92">
        <v>99.66</v>
      </c>
      <c r="AE31" s="92">
        <f>100/AC31</f>
        <v>1.0374520178441746</v>
      </c>
      <c r="AF31" s="92">
        <f>Z31*AE31</f>
        <v>49.496835771345573</v>
      </c>
      <c r="AG31" s="92">
        <f>AE31*AA31</f>
        <v>0.58097312999273787</v>
      </c>
      <c r="AH31" s="92">
        <f>AE31*R31</f>
        <v>14.181969083929866</v>
      </c>
      <c r="AI31" s="92">
        <f>AE31*V31</f>
        <v>10.457516339869279</v>
      </c>
      <c r="AJ31" s="92">
        <f>AE31*W31</f>
        <v>0.20749040356883494</v>
      </c>
      <c r="AK31" s="92">
        <f>AE31*T31</f>
        <v>10.270774976657329</v>
      </c>
      <c r="AL31" s="92">
        <f>AE31*S31</f>
        <v>11.183732752360202</v>
      </c>
      <c r="AM31" s="92">
        <f>AE31*X31</f>
        <v>1.8051665110488639</v>
      </c>
      <c r="AN31" s="92">
        <f>AE31*U31</f>
        <v>1.8051665110488639</v>
      </c>
      <c r="AO31" s="92">
        <f>AE31*Y31</f>
        <v>1.0374520178441746E-2</v>
      </c>
      <c r="AP31" s="90">
        <v>710</v>
      </c>
      <c r="AQ31" s="90" t="s">
        <v>205</v>
      </c>
      <c r="AR31" s="91" t="s">
        <v>206</v>
      </c>
      <c r="AS31" s="91" t="s">
        <v>206</v>
      </c>
      <c r="AT31" s="91">
        <v>4</v>
      </c>
      <c r="AU31" s="91">
        <v>85</v>
      </c>
      <c r="AV31" s="90">
        <v>46</v>
      </c>
      <c r="AW31" s="91">
        <v>8.6999999999999993</v>
      </c>
      <c r="AX31" s="91">
        <v>85</v>
      </c>
      <c r="AY31" s="92">
        <v>3.53</v>
      </c>
      <c r="AZ31" s="88">
        <v>1.92</v>
      </c>
      <c r="BA31" s="92">
        <v>0.55000000000000004</v>
      </c>
      <c r="BB31" s="91">
        <v>10.9</v>
      </c>
      <c r="BC31" s="92">
        <v>2.27</v>
      </c>
      <c r="BD31" s="91">
        <v>0.9</v>
      </c>
      <c r="BE31" s="92">
        <v>0.46</v>
      </c>
      <c r="BF31" s="86"/>
      <c r="BG31" s="91">
        <v>3.3</v>
      </c>
      <c r="BH31" s="86"/>
      <c r="BI31" s="92">
        <v>0.3</v>
      </c>
      <c r="BJ31" s="91">
        <v>0.1</v>
      </c>
      <c r="BK31" s="93">
        <v>1.5</v>
      </c>
      <c r="BL31" s="91">
        <v>3.6</v>
      </c>
      <c r="BM31" s="90">
        <v>137</v>
      </c>
      <c r="BN31" s="91">
        <v>0.5</v>
      </c>
      <c r="BO31" s="92">
        <v>0.7</v>
      </c>
      <c r="BP31" s="91">
        <v>57.5</v>
      </c>
      <c r="BQ31" s="91" t="s">
        <v>206</v>
      </c>
      <c r="BR31" s="90">
        <v>63</v>
      </c>
      <c r="BS31" s="92">
        <v>1.17</v>
      </c>
      <c r="BT31" s="90" t="s">
        <v>205</v>
      </c>
      <c r="BU31" s="91">
        <v>289</v>
      </c>
      <c r="BV31" s="91">
        <v>0.1</v>
      </c>
      <c r="BW31" s="92">
        <v>0.46</v>
      </c>
      <c r="BX31" s="91">
        <v>0.4</v>
      </c>
      <c r="BY31" s="94"/>
      <c r="BZ31" s="94"/>
      <c r="CA31" s="92">
        <v>0.28000000000000003</v>
      </c>
      <c r="CB31" s="91">
        <v>0.1</v>
      </c>
      <c r="CC31" s="90">
        <v>279</v>
      </c>
      <c r="CD31" s="91" t="s">
        <v>207</v>
      </c>
      <c r="CE31" s="91">
        <v>19.899999999999999</v>
      </c>
      <c r="CF31" s="92">
        <v>1.98</v>
      </c>
      <c r="CG31" s="90">
        <v>34</v>
      </c>
      <c r="CH31" s="91">
        <v>26.9</v>
      </c>
      <c r="CI31" s="94"/>
      <c r="CJ31" s="94"/>
      <c r="CK31" s="94">
        <v>5.8000000000000003E-2</v>
      </c>
      <c r="CL31" s="86"/>
      <c r="CM31" s="86"/>
      <c r="CN31" s="86"/>
      <c r="CO31" s="86"/>
      <c r="CP31" s="91" t="s">
        <v>206</v>
      </c>
      <c r="CQ31" s="91" t="s">
        <v>207</v>
      </c>
      <c r="CR31" s="91" t="s">
        <v>207</v>
      </c>
      <c r="CS31" s="91">
        <v>0.2</v>
      </c>
      <c r="CT31" s="90">
        <v>24</v>
      </c>
      <c r="CU31" s="90">
        <v>84</v>
      </c>
      <c r="CV31" s="86"/>
      <c r="CX31" s="90">
        <v>142</v>
      </c>
      <c r="CY31" s="94">
        <v>9.9000000000000005E-2</v>
      </c>
      <c r="CZ31" s="95" t="s">
        <v>208</v>
      </c>
      <c r="DA31" s="91" t="s">
        <v>206</v>
      </c>
      <c r="DB31" s="92"/>
      <c r="DC31" s="91">
        <v>3.7</v>
      </c>
      <c r="DD31" s="91">
        <v>0.1</v>
      </c>
      <c r="DE31" s="90"/>
      <c r="DF31" s="96" t="s">
        <v>213</v>
      </c>
      <c r="DG31" s="92"/>
      <c r="DH31" s="88">
        <f>K31*38/M31/10000</f>
        <v>1.7986666666666669</v>
      </c>
      <c r="DI31" s="96" t="s">
        <v>213</v>
      </c>
      <c r="DJ31" s="96" t="s">
        <v>213</v>
      </c>
      <c r="DK31" s="88">
        <f t="shared" si="15"/>
        <v>1.1464646464646464</v>
      </c>
      <c r="DL31" s="89"/>
      <c r="DN31" s="88"/>
      <c r="DO31" s="102">
        <f>1000*AX31/G31</f>
        <v>85000</v>
      </c>
      <c r="DP31" s="102" t="e">
        <f>G31/F31</f>
        <v>#DIV/0!</v>
      </c>
      <c r="DQ31" s="4">
        <f>BM31/K31</f>
        <v>1.607981220657277</v>
      </c>
    </row>
    <row r="32" spans="1:121" s="86" customFormat="1">
      <c r="A32" s="86" t="s">
        <v>152</v>
      </c>
      <c r="B32" s="86" t="s">
        <v>53</v>
      </c>
      <c r="C32" s="86">
        <v>365.2</v>
      </c>
      <c r="D32" s="86" t="s">
        <v>75</v>
      </c>
      <c r="E32" s="86">
        <v>0.46</v>
      </c>
      <c r="F32" s="86">
        <v>0.02</v>
      </c>
      <c r="G32" s="86">
        <v>0.45</v>
      </c>
      <c r="H32" s="86">
        <v>0.33</v>
      </c>
      <c r="I32" s="87">
        <v>0.01</v>
      </c>
      <c r="J32" s="87">
        <v>0.04</v>
      </c>
      <c r="K32" s="86">
        <v>47.8</v>
      </c>
      <c r="L32" s="86">
        <v>0.04</v>
      </c>
      <c r="M32" s="86">
        <v>0.01</v>
      </c>
      <c r="N32" s="86">
        <f t="shared" si="0"/>
        <v>100</v>
      </c>
      <c r="O32" s="88" t="s">
        <v>166</v>
      </c>
      <c r="P32" s="89"/>
      <c r="Q32" s="86">
        <v>0.01</v>
      </c>
      <c r="R32" s="86">
        <v>16.36</v>
      </c>
      <c r="S32" s="86">
        <v>8.98</v>
      </c>
      <c r="T32" s="86">
        <v>9.4</v>
      </c>
      <c r="U32" s="86">
        <v>1.29</v>
      </c>
      <c r="V32" s="86">
        <v>12.33</v>
      </c>
      <c r="W32" s="86">
        <v>0.2</v>
      </c>
      <c r="X32" s="86">
        <v>1.45</v>
      </c>
      <c r="Y32" s="86">
        <v>0.03</v>
      </c>
      <c r="Z32" s="86">
        <v>44.13</v>
      </c>
      <c r="AA32" s="86">
        <v>0.43</v>
      </c>
      <c r="AB32" s="86">
        <v>5.09</v>
      </c>
      <c r="AC32" s="86">
        <f t="shared" si="1"/>
        <v>94.600000000000023</v>
      </c>
      <c r="AD32" s="86">
        <v>99.69</v>
      </c>
      <c r="AE32" s="88">
        <f t="shared" si="2"/>
        <v>1.0570824524312894</v>
      </c>
      <c r="AF32" s="88">
        <f t="shared" si="3"/>
        <v>46.649048625792801</v>
      </c>
      <c r="AG32" s="88">
        <f t="shared" si="4"/>
        <v>0.45454545454545442</v>
      </c>
      <c r="AH32" s="88">
        <f t="shared" si="5"/>
        <v>17.293868921775893</v>
      </c>
      <c r="AI32" s="88">
        <f t="shared" si="6"/>
        <v>13.033826638477798</v>
      </c>
      <c r="AJ32" s="88">
        <f t="shared" si="7"/>
        <v>0.21141649048625788</v>
      </c>
      <c r="AK32" s="88">
        <f t="shared" si="8"/>
        <v>9.9365750528541206</v>
      </c>
      <c r="AL32" s="88">
        <f t="shared" si="9"/>
        <v>9.4926004228329788</v>
      </c>
      <c r="AM32" s="88">
        <f t="shared" si="10"/>
        <v>1.5327695560253696</v>
      </c>
      <c r="AN32" s="88">
        <f t="shared" si="11"/>
        <v>1.3636363636363633</v>
      </c>
      <c r="AO32" s="88">
        <f t="shared" si="12"/>
        <v>3.1712473572938681E-2</v>
      </c>
      <c r="AP32" s="86">
        <v>1996</v>
      </c>
      <c r="AQ32" s="86">
        <v>0.18</v>
      </c>
      <c r="AR32" s="86" t="s">
        <v>37</v>
      </c>
      <c r="AS32" s="86">
        <v>0.05</v>
      </c>
      <c r="AT32" s="86">
        <v>4.3</v>
      </c>
      <c r="AU32" s="86">
        <v>76.319999999999993</v>
      </c>
      <c r="AV32" s="86">
        <v>527</v>
      </c>
      <c r="AW32" s="86">
        <v>15.018000000000001</v>
      </c>
      <c r="AX32" s="86">
        <v>47.8</v>
      </c>
      <c r="AY32" s="86">
        <v>2.6139999999999999</v>
      </c>
      <c r="AZ32" s="86">
        <v>1.69</v>
      </c>
      <c r="BA32" s="86">
        <v>0.502</v>
      </c>
      <c r="BB32" s="86">
        <v>11.58</v>
      </c>
      <c r="BC32" s="86">
        <v>1.796</v>
      </c>
      <c r="BD32" s="86">
        <v>0.72</v>
      </c>
      <c r="BE32" s="86">
        <v>0.56499999999999995</v>
      </c>
      <c r="BF32" s="86">
        <v>3.6999999999999998E-2</v>
      </c>
      <c r="BG32" s="86">
        <v>1.88</v>
      </c>
      <c r="BH32" s="86">
        <v>103.8</v>
      </c>
      <c r="BI32" s="86">
        <v>0.245</v>
      </c>
      <c r="BJ32" s="86">
        <v>0.17</v>
      </c>
      <c r="BK32" s="86">
        <v>1.7629999999999999</v>
      </c>
      <c r="BL32" s="86">
        <v>2.83</v>
      </c>
      <c r="BM32" s="86">
        <v>312.8</v>
      </c>
      <c r="BN32" s="86">
        <v>0.7</v>
      </c>
      <c r="BO32" s="86">
        <v>0.61</v>
      </c>
      <c r="BP32" s="86">
        <v>44.72</v>
      </c>
      <c r="BQ32" s="86">
        <v>0.28000000000000003</v>
      </c>
      <c r="BR32" s="86">
        <v>40.1</v>
      </c>
      <c r="BS32" s="86">
        <v>1.1220000000000001</v>
      </c>
      <c r="BT32" s="86">
        <v>0.27</v>
      </c>
      <c r="BU32" s="86">
        <v>362</v>
      </c>
      <c r="BV32" s="86">
        <v>0.15</v>
      </c>
      <c r="BW32" s="86">
        <v>0.35199999999999998</v>
      </c>
      <c r="BX32" s="86">
        <v>0.35199999999999998</v>
      </c>
      <c r="BY32" s="86">
        <v>3005</v>
      </c>
      <c r="BZ32" s="86">
        <v>0.192</v>
      </c>
      <c r="CA32" s="86">
        <v>0.252</v>
      </c>
      <c r="CB32" s="86">
        <v>9.5000000000000001E-2</v>
      </c>
      <c r="CC32" s="86">
        <v>209.7</v>
      </c>
      <c r="CD32" s="86">
        <v>60.86</v>
      </c>
      <c r="CE32" s="86">
        <v>15.06</v>
      </c>
      <c r="CF32" s="86">
        <v>1.661</v>
      </c>
      <c r="CG32" s="86">
        <v>69</v>
      </c>
      <c r="CH32" s="86">
        <v>24</v>
      </c>
      <c r="CI32" s="88">
        <f>380*G32/N32</f>
        <v>1.71</v>
      </c>
      <c r="CJ32" s="88">
        <f>AE32*AP32/6.6</f>
        <v>319.687359856493</v>
      </c>
      <c r="CK32" s="88">
        <f>AE32*BX32/0.0795</f>
        <v>4.6804153868655831</v>
      </c>
      <c r="CL32" s="88">
        <f>AE32*BK32/0.658</f>
        <v>2.8322741088698526</v>
      </c>
      <c r="CM32" s="88">
        <f>AE32*BG32/0.648</f>
        <v>3.0668441521154688</v>
      </c>
      <c r="CN32" s="88">
        <f>AE32*AT32/1.675</f>
        <v>2.7137042062415189</v>
      </c>
      <c r="CO32" s="88">
        <f>AE32*BK32/1.25</f>
        <v>1.4909090909090905</v>
      </c>
      <c r="CP32" s="88">
        <f>AE32*BU32/19.9</f>
        <v>19.229339084428481</v>
      </c>
      <c r="CQ32" s="88">
        <f>AE32*BS32/0.406</f>
        <v>2.921296826669721</v>
      </c>
      <c r="CR32" s="88">
        <f>AE32*CH32/10.5</f>
        <v>2.4161884627000902</v>
      </c>
      <c r="CS32" s="88">
        <f>AE32*AG32/0.2</f>
        <v>2.4024601191620207</v>
      </c>
      <c r="CT32" s="88">
        <f>AE32*BA32/0.154</f>
        <v>3.4458142280552422</v>
      </c>
      <c r="CU32" s="88">
        <f>AE32*BC32/0.544</f>
        <v>3.489926626041536</v>
      </c>
      <c r="CV32" s="88">
        <f>AE32*AY32/0.674</f>
        <v>4.0997233392513204</v>
      </c>
      <c r="CW32" s="88">
        <f>AE32*AZ32/0.438</f>
        <v>4.078697133810226</v>
      </c>
      <c r="CX32" s="88">
        <f>AE32*CF32/0.441</f>
        <v>3.9814375362548109</v>
      </c>
      <c r="CY32" s="86" t="s">
        <v>152</v>
      </c>
      <c r="CZ32" s="86" t="s">
        <v>75</v>
      </c>
      <c r="DA32" s="86" t="s">
        <v>75</v>
      </c>
      <c r="DB32" s="88">
        <f t="shared" si="13"/>
        <v>0.60513306507322462</v>
      </c>
      <c r="DC32" s="88">
        <f t="shared" si="14"/>
        <v>1.1755591653130077</v>
      </c>
      <c r="DD32" s="89">
        <f>1000*BM32/G32</f>
        <v>695111.11111111112</v>
      </c>
      <c r="DE32" s="89">
        <f>1000*AX32/F32</f>
        <v>2390000</v>
      </c>
      <c r="DF32" s="86">
        <v>0.02</v>
      </c>
      <c r="DG32" s="86">
        <v>0.45</v>
      </c>
      <c r="DH32" s="88"/>
      <c r="DI32" s="88"/>
      <c r="DJ32" s="86">
        <v>100</v>
      </c>
      <c r="DK32" s="88">
        <f t="shared" si="15"/>
        <v>1.0812763395544853</v>
      </c>
      <c r="DN32" s="88">
        <f t="shared" si="16"/>
        <v>0.77028563783530668</v>
      </c>
      <c r="DO32" s="102">
        <f>1000*AX32/G32</f>
        <v>106222.22222222222</v>
      </c>
      <c r="DP32" s="102">
        <f>G32/F32</f>
        <v>22.5</v>
      </c>
      <c r="DQ32" s="4">
        <f>BM32/K32</f>
        <v>6.5439330543933059</v>
      </c>
    </row>
    <row r="33" spans="1:121" s="86" customFormat="1">
      <c r="A33" s="86" t="s">
        <v>153</v>
      </c>
      <c r="B33" s="86" t="s">
        <v>53</v>
      </c>
      <c r="C33" s="86">
        <v>368.86</v>
      </c>
      <c r="D33" s="86" t="s">
        <v>75</v>
      </c>
      <c r="E33" s="86">
        <v>0.41</v>
      </c>
      <c r="F33" s="86">
        <v>0.02</v>
      </c>
      <c r="G33" s="86">
        <v>0.23</v>
      </c>
      <c r="H33" s="86">
        <v>0.19</v>
      </c>
      <c r="I33" s="87">
        <v>0.01</v>
      </c>
      <c r="J33" s="87">
        <v>0.04</v>
      </c>
      <c r="K33" s="86">
        <v>2.8</v>
      </c>
      <c r="L33" s="86" t="s">
        <v>162</v>
      </c>
      <c r="M33" s="86">
        <v>5.0000000000000001E-3</v>
      </c>
      <c r="N33" s="98">
        <f t="shared" si="0"/>
        <v>50</v>
      </c>
      <c r="O33" s="88" t="s">
        <v>166</v>
      </c>
      <c r="P33" s="89"/>
      <c r="Q33" s="86">
        <v>0.01</v>
      </c>
      <c r="R33" s="86">
        <v>15.55</v>
      </c>
      <c r="S33" s="86">
        <v>4.38</v>
      </c>
      <c r="T33" s="86">
        <v>11.83</v>
      </c>
      <c r="U33" s="86">
        <v>0.04</v>
      </c>
      <c r="V33" s="86">
        <v>23.77</v>
      </c>
      <c r="W33" s="86">
        <v>0.26</v>
      </c>
      <c r="X33" s="86">
        <v>0.14000000000000001</v>
      </c>
      <c r="Y33" s="86">
        <v>0.03</v>
      </c>
      <c r="Z33" s="86">
        <v>34.33</v>
      </c>
      <c r="AA33" s="86">
        <v>0.39</v>
      </c>
      <c r="AB33" s="86">
        <v>9.2100000000000009</v>
      </c>
      <c r="AC33" s="86">
        <f t="shared" si="1"/>
        <v>90.719999999999985</v>
      </c>
      <c r="AD33" s="86">
        <v>99.93</v>
      </c>
      <c r="AE33" s="88">
        <f t="shared" si="2"/>
        <v>1.1022927689594357</v>
      </c>
      <c r="AF33" s="88">
        <f t="shared" si="3"/>
        <v>37.841710758377424</v>
      </c>
      <c r="AG33" s="88">
        <f t="shared" si="4"/>
        <v>0.42989417989417994</v>
      </c>
      <c r="AH33" s="88">
        <f t="shared" si="5"/>
        <v>17.140652557319225</v>
      </c>
      <c r="AI33" s="88">
        <f t="shared" si="6"/>
        <v>26.201499118165788</v>
      </c>
      <c r="AJ33" s="88">
        <f t="shared" si="7"/>
        <v>0.28659611992945327</v>
      </c>
      <c r="AK33" s="88">
        <f t="shared" si="8"/>
        <v>13.040123456790125</v>
      </c>
      <c r="AL33" s="88">
        <f t="shared" si="9"/>
        <v>4.8280423280423284</v>
      </c>
      <c r="AM33" s="88">
        <f t="shared" si="10"/>
        <v>0.15432098765432101</v>
      </c>
      <c r="AN33" s="88">
        <f t="shared" si="11"/>
        <v>4.409171075837743E-2</v>
      </c>
      <c r="AO33" s="88">
        <f t="shared" si="12"/>
        <v>3.3068783068783074E-2</v>
      </c>
      <c r="AP33" s="86">
        <v>2.7</v>
      </c>
      <c r="AQ33" s="86">
        <v>0.1</v>
      </c>
      <c r="AR33" s="86" t="s">
        <v>37</v>
      </c>
      <c r="AS33" s="86">
        <v>5.5E-2</v>
      </c>
      <c r="AT33" s="86">
        <v>3.22</v>
      </c>
      <c r="AU33" s="86">
        <v>91.63</v>
      </c>
      <c r="AV33" s="86">
        <v>506</v>
      </c>
      <c r="AW33" s="86">
        <v>13.111000000000001</v>
      </c>
      <c r="AX33" s="86">
        <v>2.8</v>
      </c>
      <c r="AY33" s="86">
        <v>2.101</v>
      </c>
      <c r="AZ33" s="86">
        <v>1.3680000000000001</v>
      </c>
      <c r="BA33" s="86">
        <v>0.29899999999999999</v>
      </c>
      <c r="BB33" s="86">
        <v>9.93</v>
      </c>
      <c r="BC33" s="86">
        <v>1.496</v>
      </c>
      <c r="BD33" s="86">
        <v>0.66</v>
      </c>
      <c r="BE33" s="86">
        <v>0.46300000000000002</v>
      </c>
      <c r="BF33" s="86">
        <v>3.3000000000000002E-2</v>
      </c>
      <c r="BG33" s="86">
        <v>1.38</v>
      </c>
      <c r="BH33" s="86">
        <v>95.3</v>
      </c>
      <c r="BI33" s="86">
        <v>0.186</v>
      </c>
      <c r="BJ33" s="86">
        <v>0.12</v>
      </c>
      <c r="BK33" s="86">
        <v>1.264</v>
      </c>
      <c r="BL33" s="86">
        <v>2.2799999999999998</v>
      </c>
      <c r="BM33" s="86">
        <v>537.4</v>
      </c>
      <c r="BN33" s="86">
        <v>6.4</v>
      </c>
      <c r="BO33" s="86">
        <v>0.44500000000000001</v>
      </c>
      <c r="BP33" s="86">
        <v>5.34</v>
      </c>
      <c r="BQ33" s="86">
        <v>0.11</v>
      </c>
      <c r="BR33" s="86">
        <v>22</v>
      </c>
      <c r="BS33" s="86">
        <v>0.93799999999999994</v>
      </c>
      <c r="BT33" s="86">
        <v>0.23</v>
      </c>
      <c r="BU33" s="86">
        <v>12.4</v>
      </c>
      <c r="BV33" s="86">
        <v>9.4E-2</v>
      </c>
      <c r="BW33" s="86">
        <v>0.29599999999999999</v>
      </c>
      <c r="BX33" s="86">
        <v>0.214</v>
      </c>
      <c r="BY33" s="86">
        <v>2701</v>
      </c>
      <c r="BZ33" s="86">
        <v>5.1999999999999998E-2</v>
      </c>
      <c r="CA33" s="86">
        <v>0.19800000000000001</v>
      </c>
      <c r="CB33" s="86">
        <v>8.7999999999999995E-2</v>
      </c>
      <c r="CC33" s="86">
        <v>160.5</v>
      </c>
      <c r="CD33" s="86">
        <v>8.1300000000000008</v>
      </c>
      <c r="CE33" s="86">
        <v>11.4</v>
      </c>
      <c r="CF33" s="86">
        <v>1.254</v>
      </c>
      <c r="CG33" s="86">
        <v>126</v>
      </c>
      <c r="CH33" s="86">
        <v>22</v>
      </c>
      <c r="CI33" s="88">
        <f>380*G33/N33</f>
        <v>1.7480000000000002</v>
      </c>
      <c r="CJ33" s="88">
        <f>AE33*AP33/6.6</f>
        <v>0.45093795093795103</v>
      </c>
      <c r="CK33" s="88">
        <f>AE33*BX33/0.0795</f>
        <v>2.9671780195889212</v>
      </c>
      <c r="CL33" s="88">
        <f>AE33*BK33/0.658</f>
        <v>2.1174742552655421</v>
      </c>
      <c r="CM33" s="88">
        <f>AE33*BG33/0.648</f>
        <v>2.3474753413025016</v>
      </c>
      <c r="CN33" s="88">
        <f>AE33*AT33/1.675</f>
        <v>2.1190344573429152</v>
      </c>
      <c r="CO33" s="88">
        <f>AE33*BK33/1.25</f>
        <v>1.1146384479717815</v>
      </c>
      <c r="CP33" s="88">
        <f>AE33*BU33/19.9</f>
        <v>0.68685579573351785</v>
      </c>
      <c r="CQ33" s="88">
        <f>AE33*BS33/0.406</f>
        <v>2.5466763972511095</v>
      </c>
      <c r="CR33" s="88">
        <f>AE33*CH33/10.5</f>
        <v>2.3095658016292937</v>
      </c>
      <c r="CS33" s="88">
        <f>AE33*AG33/0.2</f>
        <v>2.3693462295755068</v>
      </c>
      <c r="CT33" s="88">
        <f>AE33*BA33/0.154</f>
        <v>2.1401658306420215</v>
      </c>
      <c r="CU33" s="88">
        <f>AE33*BC33/0.544</f>
        <v>3.0313051146384482</v>
      </c>
      <c r="CV33" s="88">
        <f>AE33*AY33/0.674</f>
        <v>3.43607879463468</v>
      </c>
      <c r="CW33" s="88">
        <f>AE33*AZ33/0.438</f>
        <v>3.4427774153801556</v>
      </c>
      <c r="CX33" s="88">
        <f>AE33*CF33/0.441</f>
        <v>3.134410730782613</v>
      </c>
      <c r="CY33" s="86" t="s">
        <v>153</v>
      </c>
      <c r="CZ33" s="86" t="s">
        <v>75</v>
      </c>
      <c r="DA33" s="86" t="s">
        <v>75</v>
      </c>
      <c r="DB33" s="88">
        <f t="shared" si="13"/>
        <v>0.71363236087833426</v>
      </c>
      <c r="DC33" s="88">
        <f t="shared" si="14"/>
        <v>0.94664620384580667</v>
      </c>
      <c r="DD33" s="89">
        <f>1000*BM33/G33</f>
        <v>2336521.7391304346</v>
      </c>
      <c r="DE33" s="89">
        <f>1000*AX33/F33</f>
        <v>140000</v>
      </c>
      <c r="DF33" s="86">
        <v>0.02</v>
      </c>
      <c r="DG33" s="86">
        <v>0.23</v>
      </c>
      <c r="DH33" s="88">
        <f>K33*38/M33/10000</f>
        <v>2.1279999999999997</v>
      </c>
      <c r="DI33" s="88"/>
      <c r="DJ33" s="86">
        <v>50</v>
      </c>
      <c r="DK33" s="88">
        <f t="shared" si="15"/>
        <v>1.1929824561403508</v>
      </c>
      <c r="DN33" s="88">
        <f t="shared" si="16"/>
        <v>0.7489367357788409</v>
      </c>
      <c r="DO33" s="102">
        <f>1000*AX33/G33</f>
        <v>12173.91304347826</v>
      </c>
      <c r="DP33" s="102"/>
      <c r="DQ33" s="4"/>
    </row>
    <row r="34" spans="1:121" s="97" customFormat="1" ht="15">
      <c r="A34" s="86" t="s">
        <v>236</v>
      </c>
      <c r="B34" s="86" t="s">
        <v>233</v>
      </c>
      <c r="C34" s="99">
        <v>376.5</v>
      </c>
      <c r="D34" s="86" t="s">
        <v>75</v>
      </c>
      <c r="E34" s="90">
        <v>9</v>
      </c>
      <c r="F34" s="90"/>
      <c r="G34" s="91">
        <v>60.8</v>
      </c>
      <c r="H34" s="91">
        <v>56.2</v>
      </c>
      <c r="I34" s="86"/>
      <c r="J34" s="86"/>
      <c r="K34" s="90">
        <v>247.2</v>
      </c>
      <c r="L34" s="88">
        <v>0.18333333333333335</v>
      </c>
      <c r="M34" s="92">
        <v>0.21</v>
      </c>
      <c r="N34" s="86">
        <f t="shared" si="0"/>
        <v>2100</v>
      </c>
      <c r="O34" s="92">
        <v>0.7</v>
      </c>
      <c r="P34" s="89">
        <f t="shared" si="21"/>
        <v>3000</v>
      </c>
      <c r="Q34" s="91">
        <v>0.2</v>
      </c>
      <c r="R34" s="92">
        <v>8.65</v>
      </c>
      <c r="S34" s="92">
        <v>2.98</v>
      </c>
      <c r="T34" s="92">
        <v>13.14</v>
      </c>
      <c r="U34" s="92">
        <v>0.04</v>
      </c>
      <c r="V34" s="92">
        <v>23.92</v>
      </c>
      <c r="W34" s="92">
        <v>0.19</v>
      </c>
      <c r="X34" s="92">
        <v>0.1</v>
      </c>
      <c r="Y34" s="92">
        <v>0.02</v>
      </c>
      <c r="Z34" s="92">
        <v>39.409999999999997</v>
      </c>
      <c r="AA34" s="92">
        <v>0.39</v>
      </c>
      <c r="AB34" s="91">
        <v>10</v>
      </c>
      <c r="AC34" s="91">
        <f>SUM(R34:AA34)</f>
        <v>88.84</v>
      </c>
      <c r="AD34" s="92">
        <v>99.52</v>
      </c>
      <c r="AE34" s="92">
        <f>100/AC34</f>
        <v>1.1256190904997749</v>
      </c>
      <c r="AF34" s="92">
        <f>Z34*AE34</f>
        <v>44.360648356596123</v>
      </c>
      <c r="AG34" s="92">
        <f>AE34*AA34</f>
        <v>0.43899144529491224</v>
      </c>
      <c r="AH34" s="92">
        <f>AE34*R34</f>
        <v>9.736605132823053</v>
      </c>
      <c r="AI34" s="92">
        <f>AE34*V34</f>
        <v>26.92480864475462</v>
      </c>
      <c r="AJ34" s="92">
        <f>AE34*W34</f>
        <v>0.21386762719495725</v>
      </c>
      <c r="AK34" s="92">
        <f>AE34*T34</f>
        <v>14.790634849167043</v>
      </c>
      <c r="AL34" s="92">
        <f>AE34*S34</f>
        <v>3.3543448896893291</v>
      </c>
      <c r="AM34" s="92">
        <f>AE34*X34</f>
        <v>0.1125619090499775</v>
      </c>
      <c r="AN34" s="92">
        <f>AE34*U34</f>
        <v>4.5024763619990998E-2</v>
      </c>
      <c r="AO34" s="92">
        <f>AE34*Y34</f>
        <v>2.2512381809995499E-2</v>
      </c>
      <c r="AP34" s="90">
        <v>7</v>
      </c>
      <c r="AQ34" s="90" t="s">
        <v>205</v>
      </c>
      <c r="AR34" s="91" t="s">
        <v>206</v>
      </c>
      <c r="AS34" s="91">
        <v>0.1</v>
      </c>
      <c r="AT34" s="91">
        <v>2.2999999999999998</v>
      </c>
      <c r="AU34" s="91">
        <v>247</v>
      </c>
      <c r="AV34" s="90">
        <v>1659</v>
      </c>
      <c r="AW34" s="91">
        <v>49.6</v>
      </c>
      <c r="AX34" s="91">
        <v>247</v>
      </c>
      <c r="AY34" s="92">
        <v>2.33</v>
      </c>
      <c r="AZ34" s="88">
        <v>1.41</v>
      </c>
      <c r="BA34" s="92">
        <v>0.28000000000000003</v>
      </c>
      <c r="BB34" s="91">
        <v>6.9</v>
      </c>
      <c r="BC34" s="92">
        <v>1.64</v>
      </c>
      <c r="BD34" s="91">
        <v>0.6</v>
      </c>
      <c r="BE34" s="92">
        <v>0.42</v>
      </c>
      <c r="BF34" s="86"/>
      <c r="BG34" s="91">
        <v>2.4</v>
      </c>
      <c r="BH34" s="86"/>
      <c r="BI34" s="92">
        <v>0.18</v>
      </c>
      <c r="BJ34" s="91" t="s">
        <v>206</v>
      </c>
      <c r="BK34" s="93">
        <v>0.4</v>
      </c>
      <c r="BL34" s="91">
        <v>1</v>
      </c>
      <c r="BM34" s="90">
        <v>2004</v>
      </c>
      <c r="BN34" s="91">
        <v>0.8</v>
      </c>
      <c r="BO34" s="92">
        <v>0.32</v>
      </c>
      <c r="BP34" s="91">
        <v>11.2</v>
      </c>
      <c r="BQ34" s="91" t="s">
        <v>206</v>
      </c>
      <c r="BR34" s="90">
        <v>29</v>
      </c>
      <c r="BS34" s="92">
        <v>0.89</v>
      </c>
      <c r="BT34" s="90" t="s">
        <v>205</v>
      </c>
      <c r="BU34" s="91">
        <v>25.8</v>
      </c>
      <c r="BV34" s="91" t="s">
        <v>206</v>
      </c>
      <c r="BW34" s="92">
        <v>0.32</v>
      </c>
      <c r="BX34" s="91">
        <v>0.2</v>
      </c>
      <c r="BY34" s="94"/>
      <c r="BZ34" s="94"/>
      <c r="CA34" s="92">
        <v>0.18</v>
      </c>
      <c r="CB34" s="91" t="s">
        <v>206</v>
      </c>
      <c r="CC34" s="90">
        <v>160</v>
      </c>
      <c r="CD34" s="91" t="s">
        <v>207</v>
      </c>
      <c r="CE34" s="91">
        <v>12.8</v>
      </c>
      <c r="CF34" s="92">
        <v>1.38</v>
      </c>
      <c r="CG34" s="90">
        <v>46</v>
      </c>
      <c r="CH34" s="91">
        <v>19</v>
      </c>
      <c r="CI34" s="94"/>
      <c r="CJ34" s="94"/>
      <c r="CK34" s="94">
        <v>0.48399999999999999</v>
      </c>
      <c r="CL34" s="86"/>
      <c r="CM34" s="86"/>
      <c r="CN34" s="86"/>
      <c r="CO34" s="86"/>
      <c r="CP34" s="91">
        <v>0.1</v>
      </c>
      <c r="CQ34" s="91">
        <v>1.7</v>
      </c>
      <c r="CR34" s="91">
        <v>5.4</v>
      </c>
      <c r="CS34" s="91">
        <v>0.2</v>
      </c>
      <c r="CT34" s="90">
        <v>21</v>
      </c>
      <c r="CU34" s="90">
        <v>65</v>
      </c>
      <c r="CV34" s="86"/>
      <c r="CX34" s="90">
        <v>6</v>
      </c>
      <c r="CY34" s="94">
        <v>4.1000000000000002E-2</v>
      </c>
      <c r="CZ34" s="95">
        <v>124</v>
      </c>
      <c r="DA34" s="91" t="s">
        <v>206</v>
      </c>
      <c r="DB34" s="92"/>
      <c r="DC34" s="91">
        <v>8.6999999999999993</v>
      </c>
      <c r="DD34" s="91">
        <v>0.9</v>
      </c>
      <c r="DE34" s="90"/>
      <c r="DF34" s="96" t="s">
        <v>213</v>
      </c>
      <c r="DG34" s="92"/>
      <c r="DH34" s="88">
        <f>K34*38/M34/10000</f>
        <v>4.4731428571428573</v>
      </c>
      <c r="DI34" s="96" t="s">
        <v>213</v>
      </c>
      <c r="DJ34" s="96" t="s">
        <v>213</v>
      </c>
      <c r="DK34" s="88">
        <f t="shared" si="15"/>
        <v>1.1884057971014492</v>
      </c>
      <c r="DL34" s="89">
        <v>2571.4285714285716</v>
      </c>
      <c r="DN34" s="88"/>
      <c r="DO34" s="102">
        <f>1000*AX34/G34</f>
        <v>4062.5</v>
      </c>
      <c r="DP34" s="102" t="e">
        <f>G34/F34</f>
        <v>#DIV/0!</v>
      </c>
      <c r="DQ34" s="4">
        <f>BM34/K34</f>
        <v>8.1067961165048548</v>
      </c>
    </row>
    <row r="35" spans="1:121" s="97" customFormat="1" ht="15">
      <c r="A35" s="86" t="s">
        <v>237</v>
      </c>
      <c r="B35" s="86" t="s">
        <v>233</v>
      </c>
      <c r="C35" s="99">
        <v>380.1</v>
      </c>
      <c r="D35" s="86" t="s">
        <v>75</v>
      </c>
      <c r="E35" s="90">
        <v>7</v>
      </c>
      <c r="F35" s="90"/>
      <c r="G35" s="91">
        <v>120.7</v>
      </c>
      <c r="H35" s="91">
        <v>42.4</v>
      </c>
      <c r="I35" s="86"/>
      <c r="J35" s="86"/>
      <c r="K35" s="90">
        <v>829.8</v>
      </c>
      <c r="L35" s="88">
        <v>0.10999999999999999</v>
      </c>
      <c r="M35" s="92">
        <v>0.95</v>
      </c>
      <c r="N35" s="86">
        <f t="shared" si="0"/>
        <v>9500</v>
      </c>
      <c r="O35" s="92">
        <v>2.5</v>
      </c>
      <c r="P35" s="89">
        <f t="shared" si="21"/>
        <v>3800</v>
      </c>
      <c r="Q35" s="91" t="s">
        <v>211</v>
      </c>
      <c r="R35" s="92">
        <v>8.67</v>
      </c>
      <c r="S35" s="92">
        <v>3.58</v>
      </c>
      <c r="T35" s="92">
        <v>12.94</v>
      </c>
      <c r="U35" s="92">
        <v>0.04</v>
      </c>
      <c r="V35" s="92">
        <v>22.2</v>
      </c>
      <c r="W35" s="92">
        <v>0.15</v>
      </c>
      <c r="X35" s="92">
        <v>0.1</v>
      </c>
      <c r="Y35" s="92">
        <v>0.02</v>
      </c>
      <c r="Z35" s="92">
        <v>42.08</v>
      </c>
      <c r="AA35" s="92">
        <v>0.37</v>
      </c>
      <c r="AB35" s="91">
        <v>8.5</v>
      </c>
      <c r="AC35" s="91">
        <f>SUM(R35:AA35)</f>
        <v>90.15</v>
      </c>
      <c r="AD35" s="92">
        <v>99.48</v>
      </c>
      <c r="AE35" s="92">
        <f>100/AC35</f>
        <v>1.1092623405435384</v>
      </c>
      <c r="AF35" s="92">
        <f>Z35*AE35</f>
        <v>46.677759290072096</v>
      </c>
      <c r="AG35" s="92">
        <f>AE35*AA35</f>
        <v>0.41042706600110923</v>
      </c>
      <c r="AH35" s="92">
        <f>AE35*R35</f>
        <v>9.6173044925124778</v>
      </c>
      <c r="AI35" s="92">
        <f>AE35*V35</f>
        <v>24.625623960066552</v>
      </c>
      <c r="AJ35" s="92">
        <f>AE35*W35</f>
        <v>0.16638935108153077</v>
      </c>
      <c r="AK35" s="92">
        <f>AE35*T35</f>
        <v>14.353854686633387</v>
      </c>
      <c r="AL35" s="92">
        <f>AE35*S35</f>
        <v>3.9711591791458676</v>
      </c>
      <c r="AM35" s="92">
        <f>AE35*X35</f>
        <v>0.11092623405435385</v>
      </c>
      <c r="AN35" s="92">
        <f>AE35*U35</f>
        <v>4.4370493621741537E-2</v>
      </c>
      <c r="AO35" s="92">
        <f>AE35*Y35</f>
        <v>2.2185246810870769E-2</v>
      </c>
      <c r="AP35" s="90" t="s">
        <v>205</v>
      </c>
      <c r="AQ35" s="90" t="s">
        <v>205</v>
      </c>
      <c r="AR35" s="91" t="s">
        <v>206</v>
      </c>
      <c r="AS35" s="91">
        <v>0.2</v>
      </c>
      <c r="AT35" s="91">
        <v>1.6</v>
      </c>
      <c r="AU35" s="91">
        <v>169.5</v>
      </c>
      <c r="AV35" s="90">
        <v>2145</v>
      </c>
      <c r="AW35" s="91">
        <v>23</v>
      </c>
      <c r="AX35" s="91">
        <v>830</v>
      </c>
      <c r="AY35" s="92">
        <v>1.81</v>
      </c>
      <c r="AZ35" s="88">
        <v>1.21</v>
      </c>
      <c r="BA35" s="92">
        <v>0.35</v>
      </c>
      <c r="BB35" s="91">
        <v>6.7</v>
      </c>
      <c r="BC35" s="92">
        <v>1.34</v>
      </c>
      <c r="BD35" s="91">
        <v>0.6</v>
      </c>
      <c r="BE35" s="92">
        <v>0.22</v>
      </c>
      <c r="BF35" s="86"/>
      <c r="BG35" s="91">
        <v>1.3</v>
      </c>
      <c r="BH35" s="86"/>
      <c r="BI35" s="92">
        <v>0.17</v>
      </c>
      <c r="BJ35" s="91" t="s">
        <v>206</v>
      </c>
      <c r="BK35" s="93">
        <v>0.4</v>
      </c>
      <c r="BL35" s="91">
        <v>1.4</v>
      </c>
      <c r="BM35" s="90">
        <v>2877</v>
      </c>
      <c r="BN35" s="91">
        <v>1.7</v>
      </c>
      <c r="BO35" s="92">
        <v>0.25</v>
      </c>
      <c r="BP35" s="91">
        <v>12.1</v>
      </c>
      <c r="BQ35" s="91" t="s">
        <v>206</v>
      </c>
      <c r="BR35" s="90">
        <v>28</v>
      </c>
      <c r="BS35" s="92">
        <v>0.73</v>
      </c>
      <c r="BT35" s="90" t="s">
        <v>205</v>
      </c>
      <c r="BU35" s="91">
        <v>16.5</v>
      </c>
      <c r="BV35" s="91" t="s">
        <v>206</v>
      </c>
      <c r="BW35" s="92">
        <v>0.31</v>
      </c>
      <c r="BX35" s="91" t="s">
        <v>211</v>
      </c>
      <c r="BY35" s="94"/>
      <c r="BZ35" s="94"/>
      <c r="CA35" s="92">
        <v>0.19</v>
      </c>
      <c r="CB35" s="91" t="s">
        <v>206</v>
      </c>
      <c r="CC35" s="90">
        <v>158</v>
      </c>
      <c r="CD35" s="91" t="s">
        <v>207</v>
      </c>
      <c r="CE35" s="91">
        <v>12.3</v>
      </c>
      <c r="CF35" s="92">
        <v>1.43</v>
      </c>
      <c r="CG35" s="90">
        <v>49</v>
      </c>
      <c r="CH35" s="91">
        <v>17.8</v>
      </c>
      <c r="CI35" s="94"/>
      <c r="CJ35" s="94"/>
      <c r="CK35" s="94">
        <v>0.49099999999999999</v>
      </c>
      <c r="CL35" s="86"/>
      <c r="CM35" s="86"/>
      <c r="CN35" s="86"/>
      <c r="CO35" s="86"/>
      <c r="CP35" s="91">
        <v>0.3</v>
      </c>
      <c r="CQ35" s="91">
        <v>24.1</v>
      </c>
      <c r="CR35" s="91">
        <v>1.5</v>
      </c>
      <c r="CS35" s="91">
        <v>0.1</v>
      </c>
      <c r="CT35" s="90">
        <v>15</v>
      </c>
      <c r="CU35" s="90">
        <v>64</v>
      </c>
      <c r="CV35" s="86"/>
      <c r="CX35" s="90">
        <v>4</v>
      </c>
      <c r="CY35" s="94">
        <v>3.5999999999999997E-2</v>
      </c>
      <c r="CZ35" s="95">
        <v>40</v>
      </c>
      <c r="DA35" s="91" t="s">
        <v>206</v>
      </c>
      <c r="DB35" s="92"/>
      <c r="DC35" s="91">
        <v>2.8</v>
      </c>
      <c r="DD35" s="91">
        <v>1</v>
      </c>
      <c r="DE35" s="90"/>
      <c r="DF35" s="96" t="s">
        <v>213</v>
      </c>
      <c r="DG35" s="92"/>
      <c r="DH35" s="88">
        <f>K35*38/M35/10000</f>
        <v>3.3191999999999999</v>
      </c>
      <c r="DI35" s="96" t="s">
        <v>213</v>
      </c>
      <c r="DJ35" s="96" t="s">
        <v>213</v>
      </c>
      <c r="DK35" s="88">
        <f t="shared" si="15"/>
        <v>0.9370629370629372</v>
      </c>
      <c r="DL35" s="89">
        <v>3120</v>
      </c>
      <c r="DN35" s="88"/>
      <c r="DO35" s="102">
        <f>1000*AX35/G35</f>
        <v>6876.5534382767191</v>
      </c>
      <c r="DP35" s="102" t="e">
        <f>G35/F35</f>
        <v>#DIV/0!</v>
      </c>
      <c r="DQ35" s="4">
        <f>BM35/K35</f>
        <v>3.4671005061460596</v>
      </c>
    </row>
    <row r="36" spans="1:121" s="86" customFormat="1">
      <c r="A36" s="86" t="s">
        <v>154</v>
      </c>
      <c r="B36" s="86" t="s">
        <v>53</v>
      </c>
      <c r="C36" s="86">
        <v>381.3</v>
      </c>
      <c r="D36" s="86" t="s">
        <v>75</v>
      </c>
      <c r="E36" s="86">
        <v>1.73</v>
      </c>
      <c r="F36" s="86">
        <v>1.24</v>
      </c>
      <c r="G36" s="86">
        <v>74.2</v>
      </c>
      <c r="H36" s="86">
        <v>23.9</v>
      </c>
      <c r="I36" s="86">
        <v>1.7</v>
      </c>
      <c r="J36" s="87">
        <v>4.8499999999999996</v>
      </c>
      <c r="K36" s="86">
        <v>507.2</v>
      </c>
      <c r="L36" s="86">
        <v>0.09</v>
      </c>
      <c r="M36" s="86">
        <v>0.14000000000000001</v>
      </c>
      <c r="N36" s="86">
        <f t="shared" si="0"/>
        <v>1400.0000000000002</v>
      </c>
      <c r="O36" s="88">
        <v>1.1000000000000001</v>
      </c>
      <c r="P36" s="89">
        <f>N36/O36</f>
        <v>1272.7272727272727</v>
      </c>
      <c r="Q36" s="86">
        <v>0.19</v>
      </c>
      <c r="R36" s="86">
        <v>9.44</v>
      </c>
      <c r="S36" s="86">
        <v>5.21</v>
      </c>
      <c r="T36" s="86">
        <v>12.07</v>
      </c>
      <c r="U36" s="86">
        <v>0.02</v>
      </c>
      <c r="V36" s="86">
        <v>23.77</v>
      </c>
      <c r="W36" s="86">
        <v>0.16</v>
      </c>
      <c r="X36" s="86">
        <v>0.12</v>
      </c>
      <c r="Y36" s="86">
        <v>0.03</v>
      </c>
      <c r="Z36" s="86">
        <v>40.340000000000003</v>
      </c>
      <c r="AA36" s="86">
        <v>0.36</v>
      </c>
      <c r="AB36" s="86">
        <v>7.44</v>
      </c>
      <c r="AC36" s="86">
        <f t="shared" si="1"/>
        <v>91.52</v>
      </c>
      <c r="AD36" s="86">
        <v>98.95</v>
      </c>
      <c r="AE36" s="88">
        <f t="shared" si="2"/>
        <v>1.0926573426573427</v>
      </c>
      <c r="AF36" s="88">
        <f t="shared" si="3"/>
        <v>44.077797202797207</v>
      </c>
      <c r="AG36" s="88">
        <f t="shared" si="4"/>
        <v>0.39335664335664339</v>
      </c>
      <c r="AH36" s="88">
        <f t="shared" si="5"/>
        <v>10.314685314685315</v>
      </c>
      <c r="AI36" s="88">
        <f t="shared" si="6"/>
        <v>25.972465034965037</v>
      </c>
      <c r="AJ36" s="88">
        <f t="shared" si="7"/>
        <v>0.17482517482517484</v>
      </c>
      <c r="AK36" s="88">
        <f t="shared" si="8"/>
        <v>13.188374125874127</v>
      </c>
      <c r="AL36" s="88">
        <f t="shared" si="9"/>
        <v>5.6927447552447559</v>
      </c>
      <c r="AM36" s="88">
        <f t="shared" si="10"/>
        <v>0.13111888111888112</v>
      </c>
      <c r="AN36" s="88">
        <f t="shared" si="11"/>
        <v>2.1853146853146856E-2</v>
      </c>
      <c r="AO36" s="88">
        <f t="shared" si="12"/>
        <v>3.277972027972028E-2</v>
      </c>
      <c r="AP36" s="86">
        <v>3.1</v>
      </c>
      <c r="AQ36" s="86">
        <v>0.23</v>
      </c>
      <c r="AR36" s="86" t="s">
        <v>37</v>
      </c>
      <c r="AS36" s="86">
        <v>0.17100000000000001</v>
      </c>
      <c r="AT36" s="86">
        <v>1.53</v>
      </c>
      <c r="AU36" s="86">
        <v>145.81</v>
      </c>
      <c r="AV36" s="86">
        <v>4027</v>
      </c>
      <c r="AW36" s="86">
        <v>13.445</v>
      </c>
      <c r="AX36" s="86">
        <v>507.2</v>
      </c>
      <c r="AY36" s="86">
        <v>2.25</v>
      </c>
      <c r="AZ36" s="86">
        <v>1.482</v>
      </c>
      <c r="BA36" s="86">
        <v>0.314</v>
      </c>
      <c r="BB36" s="86">
        <v>10.47</v>
      </c>
      <c r="BC36" s="86">
        <v>1.5509999999999999</v>
      </c>
      <c r="BD36" s="86">
        <v>0.55000000000000004</v>
      </c>
      <c r="BE36" s="86">
        <v>0.495</v>
      </c>
      <c r="BF36" s="86">
        <v>0.04</v>
      </c>
      <c r="BG36" s="86">
        <v>0.6</v>
      </c>
      <c r="BH36" s="86">
        <v>43.6</v>
      </c>
      <c r="BI36" s="86">
        <v>0.20499999999999999</v>
      </c>
      <c r="BJ36" s="86" t="s">
        <v>41</v>
      </c>
      <c r="BK36" s="86">
        <v>0.60299999999999998</v>
      </c>
      <c r="BL36" s="86">
        <v>1.46</v>
      </c>
      <c r="BM36" s="86">
        <v>2059.8000000000002</v>
      </c>
      <c r="BN36" s="86">
        <v>1.2</v>
      </c>
      <c r="BO36" s="86">
        <v>0.25</v>
      </c>
      <c r="BP36" s="86">
        <v>3.48</v>
      </c>
      <c r="BQ36" s="86">
        <v>0.35</v>
      </c>
      <c r="BR36" s="86">
        <v>36.700000000000003</v>
      </c>
      <c r="BS36" s="86">
        <v>0.77400000000000002</v>
      </c>
      <c r="BT36" s="86">
        <v>0.18</v>
      </c>
      <c r="BU36" s="86">
        <v>17.7</v>
      </c>
      <c r="BV36" s="86">
        <v>4.7E-2</v>
      </c>
      <c r="BW36" s="86">
        <v>0.313</v>
      </c>
      <c r="BX36" s="86">
        <v>0.125</v>
      </c>
      <c r="BY36" s="86">
        <v>2399</v>
      </c>
      <c r="BZ36" s="86">
        <v>0.21</v>
      </c>
      <c r="CA36" s="86">
        <v>0.21</v>
      </c>
      <c r="CB36" s="86">
        <v>3.5999999999999997E-2</v>
      </c>
      <c r="CC36" s="86">
        <v>169.7</v>
      </c>
      <c r="CD36" s="86">
        <v>9.43</v>
      </c>
      <c r="CE36" s="86">
        <v>12.64</v>
      </c>
      <c r="CF36" s="86">
        <v>1.345</v>
      </c>
      <c r="CG36" s="86">
        <v>73</v>
      </c>
      <c r="CH36" s="86">
        <v>17</v>
      </c>
      <c r="CI36" s="88">
        <f>380*G36/N36</f>
        <v>20.139999999999997</v>
      </c>
      <c r="CJ36" s="88">
        <f>AE36*AP36/6.6</f>
        <v>0.5132178427632974</v>
      </c>
      <c r="CK36" s="88">
        <f>AE36*BX36/0.0795</f>
        <v>1.718014689712803</v>
      </c>
      <c r="CL36" s="88">
        <f>AE36*BK36/0.658</f>
        <v>1.0013258018577167</v>
      </c>
      <c r="CM36" s="88">
        <f>AE36*BG36/0.648</f>
        <v>1.0117197617197617</v>
      </c>
      <c r="CN36" s="88">
        <f>AE36*AT36/1.675</f>
        <v>0.99806909508402053</v>
      </c>
      <c r="CO36" s="88">
        <f>AE36*BK36/1.25</f>
        <v>0.52709790209790208</v>
      </c>
      <c r="CP36" s="88">
        <f>AE36*BU36/19.9</f>
        <v>0.97186105351934515</v>
      </c>
      <c r="CQ36" s="88">
        <f>AE36*BS36/0.406</f>
        <v>2.0830462640807466</v>
      </c>
      <c r="CR36" s="88">
        <f>AE36*CH36/10.5</f>
        <v>1.7690642690642693</v>
      </c>
      <c r="CS36" s="88">
        <f>AE36*AG36/0.2</f>
        <v>2.1490201232334103</v>
      </c>
      <c r="CT36" s="88">
        <f>AE36*BA36/0.154</f>
        <v>2.2278857506130234</v>
      </c>
      <c r="CU36" s="88">
        <f>AE36*BC36/0.544</f>
        <v>3.1152785633484164</v>
      </c>
      <c r="CV36" s="88">
        <f>AE36*AY36/0.674</f>
        <v>3.6475949866157582</v>
      </c>
      <c r="CW36" s="88">
        <f>AE36*AZ36/0.438</f>
        <v>3.6970734744707348</v>
      </c>
      <c r="CX36" s="88">
        <f>AE36*CF36/0.441</f>
        <v>3.3324810110524394</v>
      </c>
      <c r="CY36" s="86" t="s">
        <v>154</v>
      </c>
      <c r="CZ36" s="86" t="s">
        <v>75</v>
      </c>
      <c r="DA36" s="86" t="s">
        <v>75</v>
      </c>
      <c r="DB36" s="88">
        <f t="shared" si="13"/>
        <v>0.58283890577507591</v>
      </c>
      <c r="DC36" s="88">
        <f t="shared" si="14"/>
        <v>0.51553622781791408</v>
      </c>
      <c r="DD36" s="89">
        <f>1000*BM36/G36</f>
        <v>27760.107816711592</v>
      </c>
      <c r="DE36" s="89">
        <f>1000*AX36/F36</f>
        <v>409032.25806451612</v>
      </c>
      <c r="DF36" s="86">
        <v>1.24</v>
      </c>
      <c r="DG36" s="86">
        <v>74.2</v>
      </c>
      <c r="DH36" s="88">
        <f>K36*38/M36/10000</f>
        <v>13.766857142857139</v>
      </c>
      <c r="DI36" s="88"/>
      <c r="DJ36" s="86">
        <v>1400</v>
      </c>
      <c r="DK36" s="88">
        <f t="shared" si="15"/>
        <v>1.1531598513011152</v>
      </c>
      <c r="DN36" s="88">
        <f t="shared" si="16"/>
        <v>0.30359355638166052</v>
      </c>
      <c r="DO36" s="102">
        <f>1000*AX36/G36</f>
        <v>6835.579514824798</v>
      </c>
      <c r="DP36" s="102">
        <f>G36/F36</f>
        <v>59.838709677419359</v>
      </c>
      <c r="DQ36" s="4">
        <f>BM36/K36</f>
        <v>4.0611198738170353</v>
      </c>
    </row>
    <row r="37" spans="1:121" s="33" customFormat="1">
      <c r="J37" s="42"/>
      <c r="O37" s="35"/>
      <c r="P37" s="34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DB37" s="35"/>
      <c r="DC37" s="35"/>
      <c r="DD37" s="34"/>
      <c r="DE37" s="34"/>
      <c r="DH37" s="4"/>
      <c r="DI37" s="35"/>
      <c r="DK37" s="4" t="e">
        <f t="shared" si="15"/>
        <v>#DIV/0!</v>
      </c>
      <c r="DN37" s="4"/>
      <c r="DO37" s="102"/>
      <c r="DP37" s="102" t="e">
        <f>G37/F37</f>
        <v>#DIV/0!</v>
      </c>
      <c r="DQ37" s="4" t="e">
        <f>BM37/K37</f>
        <v>#DIV/0!</v>
      </c>
    </row>
    <row r="38" spans="1:121" s="5" customFormat="1">
      <c r="A38" s="5" t="s">
        <v>155</v>
      </c>
      <c r="B38" s="6" t="s">
        <v>64</v>
      </c>
      <c r="C38" s="5">
        <v>121.8</v>
      </c>
      <c r="D38" s="5" t="s">
        <v>24</v>
      </c>
      <c r="E38" s="5">
        <v>2.37</v>
      </c>
      <c r="F38" s="5">
        <v>0.02</v>
      </c>
      <c r="G38" s="5">
        <v>0.21</v>
      </c>
      <c r="H38" s="5">
        <v>0.22</v>
      </c>
      <c r="I38" s="5">
        <v>0.24</v>
      </c>
      <c r="J38" s="43">
        <v>0.04</v>
      </c>
      <c r="K38" s="5">
        <v>96.6</v>
      </c>
      <c r="L38" s="5">
        <v>4.72</v>
      </c>
      <c r="M38" s="5">
        <v>7.0000000000000007E-2</v>
      </c>
      <c r="N38" s="5">
        <f t="shared" si="0"/>
        <v>700.00000000000011</v>
      </c>
      <c r="O38" s="23" t="s">
        <v>166</v>
      </c>
      <c r="P38" s="31"/>
      <c r="Q38" s="5">
        <v>0.02</v>
      </c>
      <c r="R38" s="5">
        <v>15.9</v>
      </c>
      <c r="S38" s="5">
        <v>3.51</v>
      </c>
      <c r="T38" s="5">
        <v>13.26</v>
      </c>
      <c r="U38" s="5">
        <v>3.04</v>
      </c>
      <c r="V38" s="5">
        <v>12.26</v>
      </c>
      <c r="W38" s="5">
        <v>0.42</v>
      </c>
      <c r="X38" s="5">
        <v>0.25</v>
      </c>
      <c r="Y38" s="5">
        <v>0.08</v>
      </c>
      <c r="Z38" s="5">
        <v>39.590000000000003</v>
      </c>
      <c r="AA38" s="5">
        <v>0.93</v>
      </c>
      <c r="AB38" s="5">
        <v>10.46</v>
      </c>
      <c r="AC38" s="5">
        <f t="shared" si="1"/>
        <v>89.240000000000009</v>
      </c>
      <c r="AD38" s="5">
        <v>99.69</v>
      </c>
      <c r="AE38" s="23">
        <f t="shared" si="2"/>
        <v>1.1205737337516808</v>
      </c>
      <c r="AF38" s="23">
        <f t="shared" si="3"/>
        <v>44.363514119229045</v>
      </c>
      <c r="AG38" s="23">
        <f t="shared" si="4"/>
        <v>1.0421335723890632</v>
      </c>
      <c r="AH38" s="23">
        <f t="shared" si="5"/>
        <v>17.817122366651724</v>
      </c>
      <c r="AI38" s="23">
        <f t="shared" si="6"/>
        <v>13.738233975795607</v>
      </c>
      <c r="AJ38" s="23">
        <f t="shared" si="7"/>
        <v>0.47064096817570589</v>
      </c>
      <c r="AK38" s="23">
        <f t="shared" si="8"/>
        <v>14.858807709547287</v>
      </c>
      <c r="AL38" s="23">
        <f t="shared" si="9"/>
        <v>3.9332138054683994</v>
      </c>
      <c r="AM38" s="23">
        <f t="shared" si="10"/>
        <v>0.2801434334379202</v>
      </c>
      <c r="AN38" s="23">
        <f t="shared" si="11"/>
        <v>3.4065441506051095</v>
      </c>
      <c r="AO38" s="23">
        <f t="shared" si="12"/>
        <v>8.9645898700134466E-2</v>
      </c>
      <c r="AP38" s="5">
        <v>1021.9</v>
      </c>
      <c r="AQ38" s="5">
        <v>2.48</v>
      </c>
      <c r="AR38" s="5" t="s">
        <v>37</v>
      </c>
      <c r="AS38" s="5">
        <v>9.5000000000000001E-2</v>
      </c>
      <c r="AT38" s="5">
        <v>11.58</v>
      </c>
      <c r="AU38" s="5">
        <v>72.23</v>
      </c>
      <c r="AV38" s="5">
        <v>562</v>
      </c>
      <c r="AW38" s="5">
        <v>26.08</v>
      </c>
      <c r="AX38" s="5">
        <v>96.6</v>
      </c>
      <c r="AY38" s="5">
        <v>4.024</v>
      </c>
      <c r="AZ38" s="5">
        <v>2.4830000000000001</v>
      </c>
      <c r="BA38" s="5">
        <v>0.53900000000000003</v>
      </c>
      <c r="BB38" s="5">
        <v>17.170000000000002</v>
      </c>
      <c r="BC38" s="5">
        <v>3.3010000000000002</v>
      </c>
      <c r="BD38" s="5">
        <v>1.66</v>
      </c>
      <c r="BE38" s="5">
        <v>0.84199999999999997</v>
      </c>
      <c r="BF38" s="5">
        <v>6.3E-2</v>
      </c>
      <c r="BG38" s="5">
        <v>5.43</v>
      </c>
      <c r="BH38" s="5">
        <v>88.6</v>
      </c>
      <c r="BI38" s="5">
        <v>0.35099999999999998</v>
      </c>
      <c r="BJ38" s="5">
        <v>0.34</v>
      </c>
      <c r="BK38" s="5">
        <v>3.4590000000000001</v>
      </c>
      <c r="BL38" s="5">
        <v>7.38</v>
      </c>
      <c r="BM38" s="5">
        <v>290.8</v>
      </c>
      <c r="BN38" s="5">
        <v>24.9</v>
      </c>
      <c r="BO38" s="5">
        <v>1.577</v>
      </c>
      <c r="BP38" s="5">
        <v>192.13</v>
      </c>
      <c r="BQ38" s="5">
        <v>1.28</v>
      </c>
      <c r="BR38" s="5">
        <v>43.1</v>
      </c>
      <c r="BS38" s="5">
        <v>2.4129999999999998</v>
      </c>
      <c r="BT38" s="5">
        <v>0.94</v>
      </c>
      <c r="BU38" s="5">
        <v>52</v>
      </c>
      <c r="BV38" s="5">
        <v>0.22900000000000001</v>
      </c>
      <c r="BW38" s="5">
        <v>0.58499999999999996</v>
      </c>
      <c r="BX38" s="5">
        <v>1.0860000000000001</v>
      </c>
      <c r="BY38" s="5">
        <v>6010</v>
      </c>
      <c r="BZ38" s="5">
        <v>1.91</v>
      </c>
      <c r="CA38" s="5">
        <v>0.36399999999999999</v>
      </c>
      <c r="CB38" s="5">
        <v>0.31</v>
      </c>
      <c r="CC38" s="5">
        <v>312.60000000000002</v>
      </c>
      <c r="CD38" s="5">
        <v>13.68</v>
      </c>
      <c r="CE38" s="5">
        <v>21.78</v>
      </c>
      <c r="CF38" s="5">
        <v>2.3090000000000002</v>
      </c>
      <c r="CG38" s="5">
        <v>151</v>
      </c>
      <c r="CH38" s="5">
        <v>59</v>
      </c>
      <c r="CI38" s="23">
        <f>380*G38/N38</f>
        <v>0.11399999999999998</v>
      </c>
      <c r="CJ38" s="23">
        <f>AE38*AP38/6.6</f>
        <v>173.50216644255192</v>
      </c>
      <c r="CK38" s="23">
        <f>AE38*BX38/0.0795</f>
        <v>15.307460061060699</v>
      </c>
      <c r="CL38" s="23">
        <f>AE38*BK38/0.658</f>
        <v>5.8906756003754763</v>
      </c>
      <c r="CM38" s="23">
        <f>AE38*BG38/0.648</f>
        <v>9.3899928615302866</v>
      </c>
      <c r="CN38" s="23">
        <f>AE38*AT38/1.675</f>
        <v>7.7470112458772915</v>
      </c>
      <c r="CO38" s="23">
        <f>AE38*BK38/1.25</f>
        <v>3.100851636037651</v>
      </c>
      <c r="CP38" s="23">
        <f>AE38*BU38/19.9</f>
        <v>2.9281323696023822</v>
      </c>
      <c r="CQ38" s="23">
        <f>AE38*BS38/0.406</f>
        <v>6.6599616244896689</v>
      </c>
      <c r="CR38" s="23">
        <f>AE38*CH38/10.5</f>
        <v>6.2965571706046823</v>
      </c>
      <c r="CS38" s="23">
        <f>AE38*AG38/0.2</f>
        <v>5.8389375413999494</v>
      </c>
      <c r="CT38" s="23">
        <f>AE38*BA38/0.154</f>
        <v>3.9220080681308831</v>
      </c>
      <c r="CU38" s="23">
        <f>AE38*BC38/0.544</f>
        <v>6.7996578954306957</v>
      </c>
      <c r="CV38" s="23">
        <f>AE38*AY38/0.674</f>
        <v>6.6901909564046926</v>
      </c>
      <c r="CW38" s="23">
        <f>AE38*AZ38/0.438</f>
        <v>6.3524762121128386</v>
      </c>
      <c r="CX38" s="23">
        <f>AE38*CF38/0.441</f>
        <v>5.8671309551760338</v>
      </c>
      <c r="CY38" s="5" t="s">
        <v>155</v>
      </c>
      <c r="CZ38" s="5" t="s">
        <v>73</v>
      </c>
      <c r="DA38" s="5" t="s">
        <v>79</v>
      </c>
      <c r="DB38" s="23">
        <f t="shared" si="13"/>
        <v>0.38482384254983282</v>
      </c>
      <c r="DC38" s="23">
        <f t="shared" si="14"/>
        <v>2.6090196687286014</v>
      </c>
      <c r="DD38" s="31">
        <f>1000*BM38/G38</f>
        <v>1384761.9047619049</v>
      </c>
      <c r="DE38" s="31">
        <f>1000*AX38/F38</f>
        <v>4830000</v>
      </c>
      <c r="DF38" s="5">
        <v>0.02</v>
      </c>
      <c r="DG38" s="5">
        <v>0.21</v>
      </c>
      <c r="DH38" s="4">
        <f>K38*38/M38/10000</f>
        <v>5.2439999999999989</v>
      </c>
      <c r="DI38" s="4"/>
      <c r="DJ38" s="5">
        <v>700</v>
      </c>
      <c r="DK38" s="4">
        <f t="shared" si="15"/>
        <v>1.429623213512343</v>
      </c>
      <c r="DN38" s="4">
        <f t="shared" si="16"/>
        <v>1.6004403060487944</v>
      </c>
      <c r="DO38" s="102">
        <f>1000*AX38/G38</f>
        <v>460000</v>
      </c>
      <c r="DP38" s="102">
        <f>G38/F38</f>
        <v>10.5</v>
      </c>
      <c r="DQ38" s="4">
        <f>BM38/K38</f>
        <v>3.0103519668737064</v>
      </c>
    </row>
    <row r="39" spans="1:121" s="5" customFormat="1">
      <c r="A39" s="5" t="s">
        <v>156</v>
      </c>
      <c r="B39" s="6" t="s">
        <v>64</v>
      </c>
      <c r="C39" s="5">
        <v>123.35</v>
      </c>
      <c r="D39" s="5" t="s">
        <v>24</v>
      </c>
      <c r="E39" s="5">
        <v>156</v>
      </c>
      <c r="F39" s="5">
        <v>26.3</v>
      </c>
      <c r="G39" s="5">
        <v>322</v>
      </c>
      <c r="H39" s="5">
        <v>238</v>
      </c>
      <c r="I39" s="5">
        <v>13.5</v>
      </c>
      <c r="J39" s="5">
        <v>50.7</v>
      </c>
      <c r="K39" s="43">
        <v>12103</v>
      </c>
      <c r="L39" s="5">
        <v>4.8499999999999996</v>
      </c>
      <c r="M39" s="5">
        <v>6.83</v>
      </c>
      <c r="N39" s="5">
        <f t="shared" si="0"/>
        <v>68300</v>
      </c>
      <c r="O39" s="23">
        <v>29.1</v>
      </c>
      <c r="P39" s="31">
        <f>N39/O39</f>
        <v>2347.0790378006873</v>
      </c>
      <c r="Q39" s="5">
        <v>2.06</v>
      </c>
      <c r="R39" s="5">
        <v>9.6300000000000008</v>
      </c>
      <c r="S39" s="5">
        <v>3.41</v>
      </c>
      <c r="T39" s="5">
        <v>22.52</v>
      </c>
      <c r="U39" s="5">
        <v>0.14000000000000001</v>
      </c>
      <c r="V39" s="5">
        <v>12.02</v>
      </c>
      <c r="W39" s="5">
        <v>0.3</v>
      </c>
      <c r="X39" s="5">
        <v>0.05</v>
      </c>
      <c r="Y39" s="5">
        <v>0.05</v>
      </c>
      <c r="Z39" s="5">
        <v>32.549999999999997</v>
      </c>
      <c r="AA39" s="5">
        <v>0.5</v>
      </c>
      <c r="AB39" s="5">
        <v>9.8699999999999992</v>
      </c>
      <c r="AC39" s="5">
        <f t="shared" si="1"/>
        <v>81.169999999999987</v>
      </c>
      <c r="AD39" s="5">
        <v>91.03</v>
      </c>
      <c r="AE39" s="23">
        <f t="shared" si="2"/>
        <v>1.2319822594554641</v>
      </c>
      <c r="AF39" s="23">
        <f t="shared" si="3"/>
        <v>40.101022545275356</v>
      </c>
      <c r="AG39" s="23">
        <f t="shared" si="4"/>
        <v>0.61599112972773207</v>
      </c>
      <c r="AH39" s="23">
        <f t="shared" si="5"/>
        <v>11.863989158556121</v>
      </c>
      <c r="AI39" s="23">
        <f t="shared" si="6"/>
        <v>14.808426758654678</v>
      </c>
      <c r="AJ39" s="23">
        <f t="shared" si="7"/>
        <v>0.36959467783663924</v>
      </c>
      <c r="AK39" s="23">
        <f t="shared" si="8"/>
        <v>27.744240482937052</v>
      </c>
      <c r="AL39" s="23">
        <f t="shared" si="9"/>
        <v>4.2010595047431325</v>
      </c>
      <c r="AM39" s="23">
        <f t="shared" si="10"/>
        <v>6.1599112972773207E-2</v>
      </c>
      <c r="AN39" s="23">
        <f t="shared" si="11"/>
        <v>0.17247751632376498</v>
      </c>
      <c r="AO39" s="23">
        <f t="shared" si="12"/>
        <v>6.1599112972773207E-2</v>
      </c>
      <c r="AP39" s="5">
        <v>8.6999999999999993</v>
      </c>
      <c r="AQ39" s="5">
        <v>1.69</v>
      </c>
      <c r="AR39" s="5">
        <v>1.1599999999999999</v>
      </c>
      <c r="AS39" s="5">
        <v>1.4730000000000001</v>
      </c>
      <c r="AT39" s="5">
        <v>6.37</v>
      </c>
      <c r="AU39" s="5">
        <v>442</v>
      </c>
      <c r="AV39" s="5">
        <v>824</v>
      </c>
      <c r="AW39" s="5">
        <v>6.9420000000000002</v>
      </c>
      <c r="AX39" s="43">
        <v>12103</v>
      </c>
      <c r="AY39" s="5">
        <v>2.3460000000000001</v>
      </c>
      <c r="AZ39" s="5">
        <v>1.51</v>
      </c>
      <c r="BA39" s="5">
        <v>0.433</v>
      </c>
      <c r="BB39" s="5">
        <v>10.050000000000001</v>
      </c>
      <c r="BC39" s="5">
        <v>1.91</v>
      </c>
      <c r="BD39" s="5">
        <v>0.96</v>
      </c>
      <c r="BE39" s="5">
        <v>0.501</v>
      </c>
      <c r="BF39" s="5">
        <v>0.13300000000000001</v>
      </c>
      <c r="BG39" s="5">
        <v>2.79</v>
      </c>
      <c r="BH39" s="5">
        <v>66.900000000000006</v>
      </c>
      <c r="BI39" s="5">
        <v>0.21199999999999999</v>
      </c>
      <c r="BJ39" s="5">
        <v>0.23</v>
      </c>
      <c r="BK39" s="5">
        <v>2.0219999999999998</v>
      </c>
      <c r="BL39" s="5">
        <v>4.45</v>
      </c>
      <c r="BM39" s="5">
        <v>20300</v>
      </c>
      <c r="BN39" s="5">
        <v>140.69999999999999</v>
      </c>
      <c r="BO39" s="5">
        <v>0.90900000000000003</v>
      </c>
      <c r="BP39" s="5">
        <v>19.18</v>
      </c>
      <c r="BQ39" s="5">
        <v>13.07</v>
      </c>
      <c r="BR39" s="5">
        <v>29.8</v>
      </c>
      <c r="BS39" s="5">
        <v>1.399</v>
      </c>
      <c r="BT39" s="5">
        <v>0.71</v>
      </c>
      <c r="BU39" s="5">
        <v>13.1</v>
      </c>
      <c r="BV39" s="5">
        <v>0.14599999999999999</v>
      </c>
      <c r="BW39" s="5">
        <v>0.33800000000000002</v>
      </c>
      <c r="BX39" s="5">
        <v>0.57399999999999995</v>
      </c>
      <c r="BY39" s="5">
        <v>3445</v>
      </c>
      <c r="BZ39" s="5">
        <v>4.3330000000000002</v>
      </c>
      <c r="CA39" s="5">
        <v>0.216</v>
      </c>
      <c r="CB39" s="5">
        <v>0.16300000000000001</v>
      </c>
      <c r="CC39" s="5">
        <v>173.7</v>
      </c>
      <c r="CD39" s="5">
        <v>35.950000000000003</v>
      </c>
      <c r="CE39" s="5">
        <v>13.17</v>
      </c>
      <c r="CF39" s="5">
        <v>1.3819999999999999</v>
      </c>
      <c r="CG39" s="5">
        <v>242</v>
      </c>
      <c r="CH39" s="5">
        <v>33</v>
      </c>
      <c r="CI39" s="23">
        <f>380*G39/N39</f>
        <v>1.7915080527086384</v>
      </c>
      <c r="CJ39" s="23">
        <f>AE39*AP39/6.6</f>
        <v>1.6239766147367483</v>
      </c>
      <c r="CK39" s="23">
        <f>AE39*BX39/0.0795</f>
        <v>8.8950668795903951</v>
      </c>
      <c r="CL39" s="23">
        <f>AE39*BK39/0.658</f>
        <v>3.7858178246488574</v>
      </c>
      <c r="CM39" s="23">
        <f>AE39*BG39/0.648</f>
        <v>5.30436806154436</v>
      </c>
      <c r="CN39" s="23">
        <f>AE39*AT39/1.675</f>
        <v>4.6852101449142127</v>
      </c>
      <c r="CO39" s="23">
        <f>AE39*BK39/1.25</f>
        <v>1.9928545028951585</v>
      </c>
      <c r="CP39" s="23">
        <f>AE39*BU39/19.9</f>
        <v>0.81100339692796886</v>
      </c>
      <c r="CQ39" s="23">
        <f>AE39*BS39/0.406</f>
        <v>4.2451802487147638</v>
      </c>
      <c r="CR39" s="23">
        <f>AE39*CH39/10.5</f>
        <v>3.8719442440028873</v>
      </c>
      <c r="CS39" s="23">
        <f>AE39*AG39/0.2</f>
        <v>3.7944507190324761</v>
      </c>
      <c r="CT39" s="23">
        <f>AE39*BA39/0.154</f>
        <v>3.4639501191182851</v>
      </c>
      <c r="CU39" s="23">
        <f>AE39*BC39/0.544</f>
        <v>4.3255259477204708</v>
      </c>
      <c r="CV39" s="23">
        <f>AE39*AY39/0.674</f>
        <v>4.2881756389948356</v>
      </c>
      <c r="CW39" s="23">
        <f>AE39*AZ39/0.438</f>
        <v>4.2472447757482898</v>
      </c>
      <c r="CX39" s="23">
        <f>AE39*CF39/0.441</f>
        <v>3.8607698017402523</v>
      </c>
      <c r="CY39" s="5" t="s">
        <v>156</v>
      </c>
      <c r="CZ39" s="5" t="s">
        <v>73</v>
      </c>
      <c r="DA39" s="5" t="s">
        <v>79</v>
      </c>
      <c r="DB39" s="23">
        <f t="shared" si="13"/>
        <v>0.42560869703356169</v>
      </c>
      <c r="DC39" s="23">
        <f t="shared" si="14"/>
        <v>2.3039619910984901</v>
      </c>
      <c r="DD39" s="31">
        <f>1000*BM39/G39</f>
        <v>63043.478260869568</v>
      </c>
      <c r="DE39" s="31">
        <f>1000*AX39/F39</f>
        <v>460190.11406844103</v>
      </c>
      <c r="DF39" s="5">
        <v>26.3</v>
      </c>
      <c r="DG39" s="5">
        <v>322</v>
      </c>
      <c r="DH39" s="4">
        <f>K39*38/M39/10000</f>
        <v>6.7337335285505118</v>
      </c>
      <c r="DI39" s="4">
        <f>DG39*38/M39/1000</f>
        <v>1.7915080527086384</v>
      </c>
      <c r="DJ39" s="5">
        <v>68300</v>
      </c>
      <c r="DK39" s="4">
        <f t="shared" si="15"/>
        <v>1.3820549927641099</v>
      </c>
      <c r="DN39" s="4">
        <f t="shared" si="16"/>
        <v>1.3739146164978295</v>
      </c>
      <c r="DO39" s="102">
        <f>1000*AX39/G39</f>
        <v>37586.956521739128</v>
      </c>
      <c r="DP39" s="102">
        <f>G39/F39</f>
        <v>12.243346007604563</v>
      </c>
      <c r="DQ39" s="4">
        <f>BM39/K39</f>
        <v>1.67727009832273</v>
      </c>
    </row>
    <row r="40" spans="1:121" s="5" customFormat="1">
      <c r="A40" s="5" t="s">
        <v>157</v>
      </c>
      <c r="B40" s="6" t="s">
        <v>64</v>
      </c>
      <c r="C40" s="5">
        <v>126.4</v>
      </c>
      <c r="D40" s="5" t="s">
        <v>24</v>
      </c>
      <c r="E40" s="5">
        <v>19.5</v>
      </c>
      <c r="F40" s="5">
        <v>0.13</v>
      </c>
      <c r="G40" s="5">
        <v>57.4</v>
      </c>
      <c r="H40" s="5">
        <v>99.5</v>
      </c>
      <c r="I40" s="5">
        <v>0.11</v>
      </c>
      <c r="J40" s="43">
        <v>0.04</v>
      </c>
      <c r="K40" s="43">
        <v>5698</v>
      </c>
      <c r="L40" s="5">
        <v>5.34</v>
      </c>
      <c r="M40" s="5">
        <v>0.69</v>
      </c>
      <c r="N40" s="5">
        <f t="shared" si="0"/>
        <v>6899.9999999999991</v>
      </c>
      <c r="O40" s="23">
        <v>3.4</v>
      </c>
      <c r="P40" s="31">
        <f>N40/O40</f>
        <v>2029.4117647058822</v>
      </c>
      <c r="Q40" s="5">
        <v>1.42</v>
      </c>
      <c r="R40" s="5">
        <v>13.15</v>
      </c>
      <c r="S40" s="5">
        <v>4.46</v>
      </c>
      <c r="T40" s="5">
        <v>13.17</v>
      </c>
      <c r="U40" s="5">
        <v>1.1200000000000001</v>
      </c>
      <c r="V40" s="5">
        <v>13.58</v>
      </c>
      <c r="W40" s="5">
        <v>0.32</v>
      </c>
      <c r="X40" s="5">
        <v>0.87</v>
      </c>
      <c r="Y40" s="5">
        <v>7.0000000000000007E-2</v>
      </c>
      <c r="Z40" s="5">
        <v>40.119999999999997</v>
      </c>
      <c r="AA40" s="5">
        <v>0.74</v>
      </c>
      <c r="AB40" s="5">
        <v>9.77</v>
      </c>
      <c r="AC40" s="5">
        <f t="shared" si="1"/>
        <v>87.6</v>
      </c>
      <c r="AD40" s="5">
        <v>97.37</v>
      </c>
      <c r="AE40" s="23">
        <f t="shared" si="2"/>
        <v>1.1415525114155252</v>
      </c>
      <c r="AF40" s="23">
        <f t="shared" si="3"/>
        <v>45.799086757990864</v>
      </c>
      <c r="AG40" s="23">
        <f t="shared" si="4"/>
        <v>0.84474885844748859</v>
      </c>
      <c r="AH40" s="23">
        <f t="shared" si="5"/>
        <v>15.011415525114156</v>
      </c>
      <c r="AI40" s="23">
        <f t="shared" si="6"/>
        <v>15.502283105022832</v>
      </c>
      <c r="AJ40" s="23">
        <f t="shared" si="7"/>
        <v>0.36529680365296807</v>
      </c>
      <c r="AK40" s="23">
        <f t="shared" si="8"/>
        <v>15.034246575342467</v>
      </c>
      <c r="AL40" s="23">
        <f t="shared" si="9"/>
        <v>5.0913242009132418</v>
      </c>
      <c r="AM40" s="23">
        <f t="shared" si="10"/>
        <v>0.99315068493150693</v>
      </c>
      <c r="AN40" s="23">
        <f t="shared" si="11"/>
        <v>1.2785388127853883</v>
      </c>
      <c r="AO40" s="23">
        <f t="shared" si="12"/>
        <v>7.9908675799086767E-2</v>
      </c>
      <c r="AP40" s="5">
        <v>396.2</v>
      </c>
      <c r="AQ40" s="5">
        <v>2.14</v>
      </c>
      <c r="AR40" s="5">
        <v>0.45</v>
      </c>
      <c r="AS40" s="5">
        <v>1.2010000000000001</v>
      </c>
      <c r="AT40" s="5">
        <v>9.4499999999999993</v>
      </c>
      <c r="AU40" s="5">
        <v>95.72</v>
      </c>
      <c r="AV40" s="5">
        <v>748</v>
      </c>
      <c r="AW40" s="5">
        <v>30.879000000000001</v>
      </c>
      <c r="AX40" s="43">
        <v>5698</v>
      </c>
      <c r="AY40" s="5">
        <v>3.5150000000000001</v>
      </c>
      <c r="AZ40" s="5">
        <v>2.2330000000000001</v>
      </c>
      <c r="BA40" s="5">
        <v>0.78200000000000003</v>
      </c>
      <c r="BB40" s="5">
        <v>13.53</v>
      </c>
      <c r="BC40" s="5">
        <v>2.87</v>
      </c>
      <c r="BD40" s="5">
        <v>1.41</v>
      </c>
      <c r="BE40" s="5">
        <v>0.748</v>
      </c>
      <c r="BF40" s="5">
        <v>0.125</v>
      </c>
      <c r="BG40" s="5">
        <v>4.1500000000000004</v>
      </c>
      <c r="BH40" s="5">
        <v>111.4</v>
      </c>
      <c r="BI40" s="5">
        <v>0.308</v>
      </c>
      <c r="BJ40" s="5">
        <v>0.5</v>
      </c>
      <c r="BK40" s="5">
        <v>2.8650000000000002</v>
      </c>
      <c r="BL40" s="5">
        <v>6.33</v>
      </c>
      <c r="BM40" s="5">
        <v>2102.5</v>
      </c>
      <c r="BN40" s="5">
        <v>18.8</v>
      </c>
      <c r="BO40" s="5">
        <v>1.3420000000000001</v>
      </c>
      <c r="BP40" s="5">
        <v>96.96</v>
      </c>
      <c r="BQ40" s="5">
        <v>3.23</v>
      </c>
      <c r="BR40" s="5">
        <v>42.2</v>
      </c>
      <c r="BS40" s="5">
        <v>2.097</v>
      </c>
      <c r="BT40" s="5">
        <v>1.27</v>
      </c>
      <c r="BU40" s="5">
        <v>94.2</v>
      </c>
      <c r="BV40" s="5">
        <v>0.19700000000000001</v>
      </c>
      <c r="BW40" s="5">
        <v>0.50900000000000001</v>
      </c>
      <c r="BX40" s="5">
        <v>0.89</v>
      </c>
      <c r="BY40" s="5">
        <v>5075</v>
      </c>
      <c r="BZ40" s="5">
        <v>1.5229999999999999</v>
      </c>
      <c r="CA40" s="5">
        <v>0.32</v>
      </c>
      <c r="CB40" s="5">
        <v>0.26</v>
      </c>
      <c r="CC40" s="5">
        <v>247.1</v>
      </c>
      <c r="CD40" s="5">
        <v>21.4</v>
      </c>
      <c r="CE40" s="5">
        <v>19.7</v>
      </c>
      <c r="CF40" s="5">
        <v>2.0459999999999998</v>
      </c>
      <c r="CG40" s="5">
        <v>214</v>
      </c>
      <c r="CH40" s="5">
        <v>49</v>
      </c>
      <c r="CI40" s="23">
        <f>380*G40/N40</f>
        <v>3.1611594202898554</v>
      </c>
      <c r="CJ40" s="23">
        <f>AE40*AP40/6.6</f>
        <v>68.527743185277444</v>
      </c>
      <c r="CK40" s="23">
        <f>AE40*BX40/0.0795</f>
        <v>12.779644467419088</v>
      </c>
      <c r="CL40" s="23">
        <f>AE40*BK40/0.658</f>
        <v>4.970437606695258</v>
      </c>
      <c r="CM40" s="23">
        <f>AE40*BG40/0.648</f>
        <v>7.3108687073679475</v>
      </c>
      <c r="CN40" s="23">
        <f>AE40*AT40/1.675</f>
        <v>6.440400736045798</v>
      </c>
      <c r="CO40" s="23">
        <f>AE40*BK40/1.25</f>
        <v>2.6164383561643838</v>
      </c>
      <c r="CP40" s="23">
        <f>AE40*BU40/19.9</f>
        <v>5.403730983685552</v>
      </c>
      <c r="CQ40" s="23">
        <f>AE40*BS40/0.406</f>
        <v>5.8961468385181179</v>
      </c>
      <c r="CR40" s="23">
        <f>AE40*CH40/10.5</f>
        <v>5.3272450532724509</v>
      </c>
      <c r="CS40" s="23">
        <f>AE40*AG40/0.2</f>
        <v>4.8216259043806424</v>
      </c>
      <c r="CT40" s="23">
        <f>AE40*BA40/0.154</f>
        <v>5.7967147008242907</v>
      </c>
      <c r="CU40" s="23">
        <f>AE40*BC40/0.544</f>
        <v>6.0225288745635241</v>
      </c>
      <c r="CV40" s="23">
        <f>AE40*AY40/0.674</f>
        <v>5.9533487798598976</v>
      </c>
      <c r="CW40" s="23">
        <f>AE40*AZ40/0.438</f>
        <v>5.8198327808010681</v>
      </c>
      <c r="CX40" s="23">
        <f>AE40*CF40/0.441</f>
        <v>5.2961823999005988</v>
      </c>
      <c r="CY40" s="5" t="s">
        <v>157</v>
      </c>
      <c r="CZ40" s="5" t="s">
        <v>73</v>
      </c>
      <c r="DA40" s="5" t="s">
        <v>79</v>
      </c>
      <c r="DB40" s="23">
        <f t="shared" si="13"/>
        <v>0.38893395034322598</v>
      </c>
      <c r="DC40" s="23">
        <f t="shared" si="14"/>
        <v>2.4129917556576115</v>
      </c>
      <c r="DD40" s="31">
        <f>1000*BM40/G40</f>
        <v>36628.919860627182</v>
      </c>
      <c r="DE40" s="31">
        <f>1000*AX40/F40</f>
        <v>43830769.230769232</v>
      </c>
      <c r="DF40" s="5">
        <v>0.13</v>
      </c>
      <c r="DG40" s="5">
        <v>57.4</v>
      </c>
      <c r="DH40" s="4"/>
      <c r="DI40" s="4">
        <f>DG40*38/M40/1000</f>
        <v>3.161159420289855</v>
      </c>
      <c r="DJ40" s="5">
        <v>6900</v>
      </c>
      <c r="DK40" s="4">
        <f t="shared" si="15"/>
        <v>1.4027370478983383</v>
      </c>
      <c r="DN40" s="4">
        <f t="shared" si="16"/>
        <v>1.3804034973389816</v>
      </c>
      <c r="DO40" s="102">
        <f>1000*AX40/G40</f>
        <v>99268.292682926825</v>
      </c>
      <c r="DP40" s="102"/>
      <c r="DQ40" s="4">
        <f>BM40/K40</f>
        <v>0.36898911898911901</v>
      </c>
    </row>
    <row r="41" spans="1:121" s="5" customFormat="1">
      <c r="A41" s="5" t="s">
        <v>158</v>
      </c>
      <c r="B41" s="6" t="s">
        <v>64</v>
      </c>
      <c r="C41" s="5">
        <v>127.7</v>
      </c>
      <c r="D41" s="5" t="s">
        <v>24</v>
      </c>
      <c r="E41" s="43">
        <v>0.12</v>
      </c>
      <c r="F41" s="5">
        <v>0.04</v>
      </c>
      <c r="G41" s="5">
        <v>0.61</v>
      </c>
      <c r="H41" s="5">
        <v>0.55000000000000004</v>
      </c>
      <c r="I41" s="43">
        <v>0.01</v>
      </c>
      <c r="J41" s="43">
        <v>0.04</v>
      </c>
      <c r="K41" s="5">
        <v>122.7</v>
      </c>
      <c r="L41" s="5">
        <v>4.6399999999999997</v>
      </c>
      <c r="M41" s="5">
        <v>0.06</v>
      </c>
      <c r="N41" s="5">
        <f t="shared" si="0"/>
        <v>600</v>
      </c>
      <c r="O41" s="23">
        <v>0.5</v>
      </c>
      <c r="P41" s="31">
        <f>N41/O41</f>
        <v>1200</v>
      </c>
      <c r="Q41" s="5">
        <v>0.02</v>
      </c>
      <c r="R41" s="5">
        <v>14.06</v>
      </c>
      <c r="S41" s="5">
        <v>5.68</v>
      </c>
      <c r="T41" s="5">
        <v>11.92</v>
      </c>
      <c r="U41" s="5">
        <v>1.46</v>
      </c>
      <c r="V41" s="5">
        <v>12.18</v>
      </c>
      <c r="W41" s="5">
        <v>0.32</v>
      </c>
      <c r="X41" s="5">
        <v>1.1299999999999999</v>
      </c>
      <c r="Y41" s="5">
        <v>7.0000000000000007E-2</v>
      </c>
      <c r="Z41" s="5">
        <v>41.87</v>
      </c>
      <c r="AA41" s="5">
        <v>0.81</v>
      </c>
      <c r="AB41" s="5">
        <v>10.29</v>
      </c>
      <c r="AC41" s="5">
        <f t="shared" si="1"/>
        <v>89.5</v>
      </c>
      <c r="AD41" s="5">
        <v>99.79</v>
      </c>
      <c r="AE41" s="23">
        <f t="shared" si="2"/>
        <v>1.1173184357541899</v>
      </c>
      <c r="AF41" s="23">
        <f t="shared" si="3"/>
        <v>46.782122905027926</v>
      </c>
      <c r="AG41" s="23">
        <f t="shared" si="4"/>
        <v>0.9050279329608939</v>
      </c>
      <c r="AH41" s="23">
        <f t="shared" si="5"/>
        <v>15.70949720670391</v>
      </c>
      <c r="AI41" s="23">
        <f t="shared" si="6"/>
        <v>13.608938547486032</v>
      </c>
      <c r="AJ41" s="23">
        <f t="shared" si="7"/>
        <v>0.35754189944134079</v>
      </c>
      <c r="AK41" s="23">
        <f t="shared" si="8"/>
        <v>13.318435754189943</v>
      </c>
      <c r="AL41" s="23">
        <f t="shared" si="9"/>
        <v>6.3463687150837984</v>
      </c>
      <c r="AM41" s="23">
        <f t="shared" si="10"/>
        <v>1.2625698324022345</v>
      </c>
      <c r="AN41" s="23">
        <f t="shared" si="11"/>
        <v>1.6312849162011172</v>
      </c>
      <c r="AO41" s="23">
        <f t="shared" si="12"/>
        <v>7.8212290502793297E-2</v>
      </c>
      <c r="AP41" s="5">
        <v>605.20000000000005</v>
      </c>
      <c r="AQ41" s="5">
        <v>2.2200000000000002</v>
      </c>
      <c r="AR41" s="5" t="s">
        <v>37</v>
      </c>
      <c r="AS41" s="5">
        <v>0.10100000000000001</v>
      </c>
      <c r="AT41" s="5">
        <v>9.52</v>
      </c>
      <c r="AU41" s="5">
        <v>78.91</v>
      </c>
      <c r="AV41" s="5">
        <v>648</v>
      </c>
      <c r="AW41" s="5">
        <v>26.916</v>
      </c>
      <c r="AX41" s="5">
        <v>122.7</v>
      </c>
      <c r="AY41" s="5">
        <v>3.5960000000000001</v>
      </c>
      <c r="AZ41" s="5">
        <v>2.2599999999999998</v>
      </c>
      <c r="BA41" s="5">
        <v>0.70599999999999996</v>
      </c>
      <c r="BB41" s="5">
        <v>14.67</v>
      </c>
      <c r="BC41" s="5">
        <v>2.867</v>
      </c>
      <c r="BD41" s="5">
        <v>1.51</v>
      </c>
      <c r="BE41" s="5">
        <v>0.76</v>
      </c>
      <c r="BF41" s="5">
        <v>5.8999999999999997E-2</v>
      </c>
      <c r="BG41" s="5">
        <v>4.28</v>
      </c>
      <c r="BH41" s="5">
        <v>109.6</v>
      </c>
      <c r="BI41" s="5">
        <v>0.32500000000000001</v>
      </c>
      <c r="BJ41" s="5">
        <v>0.21</v>
      </c>
      <c r="BK41" s="5">
        <v>2.9220000000000002</v>
      </c>
      <c r="BL41" s="5">
        <v>6.45</v>
      </c>
      <c r="BM41" s="5">
        <v>395.7</v>
      </c>
      <c r="BN41" s="5">
        <v>12.4</v>
      </c>
      <c r="BO41" s="5">
        <v>1.2989999999999999</v>
      </c>
      <c r="BP41" s="5">
        <v>76.42</v>
      </c>
      <c r="BQ41" s="5">
        <v>1.95</v>
      </c>
      <c r="BR41" s="5">
        <v>38.9</v>
      </c>
      <c r="BS41" s="5">
        <v>2.145</v>
      </c>
      <c r="BT41" s="5">
        <v>0.69</v>
      </c>
      <c r="BU41" s="5">
        <v>148</v>
      </c>
      <c r="BV41" s="5">
        <v>0.20699999999999999</v>
      </c>
      <c r="BW41" s="5">
        <v>0.53400000000000003</v>
      </c>
      <c r="BX41" s="5">
        <v>0.91200000000000003</v>
      </c>
      <c r="BY41" s="5">
        <v>5316</v>
      </c>
      <c r="BZ41" s="5">
        <v>0.63900000000000001</v>
      </c>
      <c r="CA41" s="5">
        <v>0.32800000000000001</v>
      </c>
      <c r="CB41" s="5">
        <v>0.26500000000000001</v>
      </c>
      <c r="CC41" s="5">
        <v>282.2</v>
      </c>
      <c r="CD41" s="5">
        <v>22.41</v>
      </c>
      <c r="CE41" s="5">
        <v>19.78</v>
      </c>
      <c r="CF41" s="5">
        <v>2.113</v>
      </c>
      <c r="CG41" s="5">
        <v>117</v>
      </c>
      <c r="CH41" s="5">
        <v>51</v>
      </c>
      <c r="CI41" s="23">
        <f>380*G41/N41</f>
        <v>0.38633333333333331</v>
      </c>
      <c r="CJ41" s="23">
        <f>AE41*AP41/6.6</f>
        <v>102.45471474521754</v>
      </c>
      <c r="CK41" s="23">
        <f>AE41*BX41/0.0795</f>
        <v>12.817539791293349</v>
      </c>
      <c r="CL41" s="23">
        <f>AE41*BK41/0.658</f>
        <v>4.9617089198689097</v>
      </c>
      <c r="CM41" s="23">
        <f>AE41*BG41/0.648</f>
        <v>7.3798192978826123</v>
      </c>
      <c r="CN41" s="23">
        <f>AE41*AT41/1.675</f>
        <v>6.3503710497790369</v>
      </c>
      <c r="CO41" s="23">
        <f>AE41*BK41/1.25</f>
        <v>2.6118435754189941</v>
      </c>
      <c r="CP41" s="23">
        <f>AE41*BU41/19.9</f>
        <v>8.309704949327644</v>
      </c>
      <c r="CQ41" s="23">
        <f>AE41*BS41/0.406</f>
        <v>5.9030740017062495</v>
      </c>
      <c r="CR41" s="23">
        <f>AE41*CH41/10.5</f>
        <v>5.4269752593774934</v>
      </c>
      <c r="CS41" s="23">
        <f>AE41*AG41/0.2</f>
        <v>5.0560219718485682</v>
      </c>
      <c r="CT41" s="23">
        <f>AE41*BA41/0.154</f>
        <v>5.1222520496263506</v>
      </c>
      <c r="CU41" s="23">
        <f>AE41*BC41/0.544</f>
        <v>5.8885146237265849</v>
      </c>
      <c r="CV41" s="23">
        <f>AE41*AY41/0.674</f>
        <v>5.9612419806707226</v>
      </c>
      <c r="CW41" s="23">
        <f>AE41*AZ41/0.438</f>
        <v>5.7651590520649982</v>
      </c>
      <c r="CX41" s="23">
        <f>AE41*CF41/0.441</f>
        <v>5.3535008044186014</v>
      </c>
      <c r="CY41" s="5" t="s">
        <v>158</v>
      </c>
      <c r="CZ41" s="5" t="s">
        <v>73</v>
      </c>
      <c r="DA41" s="5" t="s">
        <v>79</v>
      </c>
      <c r="DB41" s="23">
        <f t="shared" si="13"/>
        <v>0.38710306350983836</v>
      </c>
      <c r="DC41" s="23">
        <f t="shared" si="14"/>
        <v>2.3942351480949022</v>
      </c>
      <c r="DD41" s="31">
        <f>1000*BM41/G41</f>
        <v>648688.52459016396</v>
      </c>
      <c r="DE41" s="31">
        <f>1000*AX41/F41</f>
        <v>3067500</v>
      </c>
      <c r="DF41" s="5">
        <v>0.04</v>
      </c>
      <c r="DG41" s="5">
        <v>0.61</v>
      </c>
      <c r="DH41" s="4">
        <f>K41*38/M41/10000</f>
        <v>7.7710000000000017</v>
      </c>
      <c r="DI41" s="4"/>
      <c r="DJ41" s="5">
        <v>600</v>
      </c>
      <c r="DK41" s="4">
        <f t="shared" si="15"/>
        <v>1.3568386180785612</v>
      </c>
      <c r="DN41" s="4">
        <f t="shared" si="16"/>
        <v>1.3785034442866908</v>
      </c>
      <c r="DO41" s="102">
        <f>1000*AX41/G41</f>
        <v>201147.54098360657</v>
      </c>
      <c r="DP41" s="102">
        <f>G41/F41</f>
        <v>15.25</v>
      </c>
      <c r="DQ41" s="4">
        <f>BM41/K41</f>
        <v>3.2249388753056234</v>
      </c>
    </row>
    <row r="42" spans="1:121">
      <c r="CJ42">
        <v>102.45471474521754</v>
      </c>
      <c r="CK42">
        <v>12.817539791293349</v>
      </c>
      <c r="CL42">
        <v>4.9617089198689097</v>
      </c>
      <c r="CM42">
        <v>7.3798192978826123</v>
      </c>
      <c r="CN42">
        <v>6.3503710497790369</v>
      </c>
      <c r="CO42">
        <v>2.6118435754189941</v>
      </c>
      <c r="CP42">
        <v>8.309704949327644</v>
      </c>
      <c r="CQ42">
        <v>5.9030740017062495</v>
      </c>
      <c r="CR42">
        <v>5.4269752593774934</v>
      </c>
      <c r="CS42">
        <v>5.0560219718485682</v>
      </c>
      <c r="CT42">
        <v>5.1222520496263506</v>
      </c>
      <c r="CU42">
        <v>5.8885146237265849</v>
      </c>
      <c r="CV42">
        <v>5.9612419806707226</v>
      </c>
      <c r="CW42">
        <v>5.7651590520649982</v>
      </c>
      <c r="CX42">
        <v>5.3535008044186014</v>
      </c>
      <c r="DB42" s="23">
        <f t="shared" ref="DB42:DB59" si="22">CL42/CK42</f>
        <v>0.38710306350983836</v>
      </c>
      <c r="DC42" s="23">
        <f t="shared" ref="DC42:DC59" si="23">CK42/CX42</f>
        <v>2.3942351480949022</v>
      </c>
      <c r="DH42" s="4"/>
      <c r="DK42" s="4" t="e">
        <f t="shared" si="15"/>
        <v>#DIV/0!</v>
      </c>
      <c r="DN42" s="4">
        <f t="shared" si="16"/>
        <v>1.3785034442866908</v>
      </c>
      <c r="DO42" s="102"/>
      <c r="DP42" s="102" t="e">
        <f>G42/F42</f>
        <v>#DIV/0!</v>
      </c>
      <c r="DQ42" s="4" t="e">
        <f>BM42/K42</f>
        <v>#DIV/0!</v>
      </c>
    </row>
    <row r="43" spans="1:121">
      <c r="A43" t="s">
        <v>202</v>
      </c>
      <c r="B43" t="s">
        <v>203</v>
      </c>
      <c r="C43">
        <v>39.6</v>
      </c>
      <c r="E43" s="50">
        <v>600.5</v>
      </c>
      <c r="F43" s="50"/>
      <c r="G43" s="51">
        <v>1971</v>
      </c>
      <c r="H43" s="51">
        <v>768.55</v>
      </c>
      <c r="K43" s="80">
        <v>59800.000000000007</v>
      </c>
      <c r="L43" s="3">
        <v>6.2333333333333334</v>
      </c>
      <c r="M43" s="52">
        <v>38.5</v>
      </c>
      <c r="N43">
        <f>M43*10000</f>
        <v>385000</v>
      </c>
      <c r="O43" s="52">
        <v>190</v>
      </c>
      <c r="P43">
        <f>N43/O43</f>
        <v>2026.3157894736842</v>
      </c>
      <c r="Q43" s="51">
        <v>7.7</v>
      </c>
      <c r="R43" s="52">
        <v>0.08</v>
      </c>
      <c r="S43" s="52">
        <v>3.5</v>
      </c>
      <c r="T43" s="52">
        <v>49.52</v>
      </c>
      <c r="U43" s="52">
        <v>0.01</v>
      </c>
      <c r="V43" s="52">
        <v>0.76</v>
      </c>
      <c r="W43" s="52">
        <v>0.25</v>
      </c>
      <c r="X43" s="52">
        <v>0.01</v>
      </c>
      <c r="Y43" s="52">
        <v>0.02</v>
      </c>
      <c r="Z43" s="52">
        <v>0.66</v>
      </c>
      <c r="AA43" s="52">
        <v>0.03</v>
      </c>
      <c r="AB43" s="51">
        <v>26</v>
      </c>
      <c r="AC43" s="51">
        <f>SUM(R43:AA43)</f>
        <v>54.839999999999996</v>
      </c>
      <c r="AD43" s="52">
        <v>86.59</v>
      </c>
      <c r="AE43" s="52">
        <f>100/AC43</f>
        <v>1.8234865061998542</v>
      </c>
      <c r="AF43" s="52">
        <f>Z43*AE43</f>
        <v>1.2035010940919038</v>
      </c>
      <c r="AG43" s="52">
        <f>AE43*AA43</f>
        <v>5.4704595185995623E-2</v>
      </c>
      <c r="AH43" s="52">
        <f>AE43*R43</f>
        <v>0.14587892049598833</v>
      </c>
      <c r="AI43" s="52">
        <f>AE43*V43</f>
        <v>1.3858497447118892</v>
      </c>
      <c r="AJ43" s="52">
        <f>AE43*W43</f>
        <v>0.45587162654996355</v>
      </c>
      <c r="AK43" s="52">
        <f>AE43*T43</f>
        <v>90.299051787016779</v>
      </c>
      <c r="AL43" s="52">
        <f>AE43*S43</f>
        <v>6.3822027716994896</v>
      </c>
      <c r="AM43" s="52">
        <f>AE43*X43</f>
        <v>1.8234865061998541E-2</v>
      </c>
      <c r="AN43" s="52">
        <f>AE43*U43</f>
        <v>1.8234865061998541E-2</v>
      </c>
      <c r="AO43" s="52">
        <f>AE43*Y43</f>
        <v>3.6469730123997082E-2</v>
      </c>
      <c r="AP43" s="50">
        <v>15</v>
      </c>
      <c r="AQ43" s="50" t="s">
        <v>205</v>
      </c>
      <c r="AR43" s="51">
        <v>2.4</v>
      </c>
      <c r="AS43" s="51">
        <v>1.9</v>
      </c>
      <c r="AT43" s="51">
        <v>11.1</v>
      </c>
      <c r="AU43" s="51">
        <v>2041.8</v>
      </c>
      <c r="AV43" s="50">
        <v>34</v>
      </c>
      <c r="AW43" s="51" t="s">
        <v>206</v>
      </c>
      <c r="AX43" s="80">
        <v>59800.000000000007</v>
      </c>
      <c r="AY43" s="52">
        <v>0.6</v>
      </c>
      <c r="AZ43" s="3">
        <v>0.2</v>
      </c>
      <c r="BA43" s="52">
        <v>0.31</v>
      </c>
      <c r="BB43" s="51" t="s">
        <v>207</v>
      </c>
      <c r="BC43" s="52">
        <v>0.75</v>
      </c>
      <c r="BD43" s="51" t="s">
        <v>206</v>
      </c>
      <c r="BE43" s="52">
        <v>0.09</v>
      </c>
      <c r="BI43" s="52">
        <v>0.03</v>
      </c>
      <c r="BJ43" s="51">
        <v>2.7</v>
      </c>
      <c r="BK43" s="60">
        <v>2.6</v>
      </c>
      <c r="BL43" s="51">
        <v>4.3</v>
      </c>
      <c r="BM43" s="50">
        <v>59800.000000000007</v>
      </c>
      <c r="BN43" s="51">
        <v>274.39999999999998</v>
      </c>
      <c r="BO43" s="52">
        <v>1.27</v>
      </c>
      <c r="BP43" s="51">
        <v>0.9</v>
      </c>
      <c r="BQ43" s="51">
        <v>19.100000000000001</v>
      </c>
      <c r="BR43" s="50">
        <v>1</v>
      </c>
      <c r="BS43" s="52">
        <v>0.79</v>
      </c>
      <c r="BT43" s="50">
        <v>2</v>
      </c>
      <c r="BU43" s="51">
        <v>41.4</v>
      </c>
      <c r="BV43" s="51" t="s">
        <v>206</v>
      </c>
      <c r="BW43" s="52">
        <v>0.11</v>
      </c>
      <c r="BX43" s="51">
        <v>0.4</v>
      </c>
      <c r="BY43" s="50">
        <f>10000*AA43*47.867/79.867</f>
        <v>179.80016777893243</v>
      </c>
      <c r="BZ43" s="53"/>
      <c r="CA43" s="52">
        <v>0.03</v>
      </c>
      <c r="CB43" s="51" t="s">
        <v>206</v>
      </c>
      <c r="CC43" s="50">
        <v>19</v>
      </c>
      <c r="CD43" s="51" t="s">
        <v>207</v>
      </c>
      <c r="CE43" s="51">
        <v>3.1</v>
      </c>
      <c r="CF43" s="52">
        <v>0.19</v>
      </c>
      <c r="CG43" s="50">
        <v>185</v>
      </c>
      <c r="CH43" s="51">
        <v>3.2</v>
      </c>
      <c r="CI43" s="53"/>
      <c r="CJ43" s="3">
        <f>AE43*AP43/6.6</f>
        <v>4.1442875140905784</v>
      </c>
      <c r="CK43" s="3">
        <f>AE43*BX43/0.0795</f>
        <v>9.17477487396153</v>
      </c>
      <c r="CL43" s="3">
        <f>AE43*BK43/0.658</f>
        <v>7.2052658299690284</v>
      </c>
      <c r="CM43" s="3">
        <f>AE43*BG43/0.648</f>
        <v>0</v>
      </c>
      <c r="CN43" s="3">
        <f>AE43*AT43/1.675</f>
        <v>12.08400013063784</v>
      </c>
      <c r="CO43" s="3">
        <f>AE43*BL43/1.25</f>
        <v>6.2727935813274982</v>
      </c>
      <c r="CP43" s="3">
        <f>AE43*BU43/19.9</f>
        <v>3.7935849927976868</v>
      </c>
      <c r="CQ43" s="3">
        <f>AE43*BS43/0.406</f>
        <v>3.548163398763263</v>
      </c>
      <c r="CR43" s="3">
        <f>AE43*CH43/10.5</f>
        <v>0.55572922093709842</v>
      </c>
      <c r="CS43" s="3">
        <f>AE43*BY43/2000</f>
        <v>0.16393158987867656</v>
      </c>
      <c r="CT43" s="3">
        <f>AE43*BA43/0.154</f>
        <v>3.6706546553373687</v>
      </c>
      <c r="CU43" s="3">
        <f>AE43*BC43/0.544</f>
        <v>2.5139979405328869</v>
      </c>
      <c r="CV43" s="3">
        <f>AE43*AY43/0.674</f>
        <v>1.6232817562609976</v>
      </c>
      <c r="CW43" s="3">
        <f>AE43*AZ43/0.438</f>
        <v>0.8326422402739061</v>
      </c>
      <c r="CX43" s="3">
        <f>AE43*CF43/0.441</f>
        <v>0.78562910697952903</v>
      </c>
      <c r="DB43" s="23">
        <f t="shared" si="22"/>
        <v>0.78533434650455924</v>
      </c>
      <c r="DC43" s="23">
        <f t="shared" si="23"/>
        <v>11.678252234359483</v>
      </c>
      <c r="DH43" s="4">
        <f>K43*38/M43/10000</f>
        <v>5.902337662337664</v>
      </c>
      <c r="DI43" s="50">
        <v>794</v>
      </c>
      <c r="DJ43" s="50">
        <v>1971</v>
      </c>
      <c r="DK43" s="4">
        <f t="shared" si="15"/>
        <v>3.9473684210526314</v>
      </c>
      <c r="DL43" s="1"/>
      <c r="DN43" s="4">
        <f t="shared" si="16"/>
        <v>0</v>
      </c>
      <c r="DO43" s="102">
        <f>1000*AX43/G43</f>
        <v>30339.928970065961</v>
      </c>
      <c r="DP43" s="102" t="e">
        <f>G43/F43</f>
        <v>#DIV/0!</v>
      </c>
      <c r="DQ43" s="4">
        <f>BM43/K43</f>
        <v>1</v>
      </c>
    </row>
    <row r="44" spans="1:121">
      <c r="A44" t="s">
        <v>210</v>
      </c>
      <c r="B44" t="s">
        <v>203</v>
      </c>
      <c r="C44">
        <v>41.32</v>
      </c>
      <c r="E44" s="50">
        <v>516</v>
      </c>
      <c r="F44" s="50"/>
      <c r="G44" s="51">
        <v>861.2</v>
      </c>
      <c r="H44" s="51">
        <v>576.6</v>
      </c>
      <c r="K44" s="80">
        <v>66900</v>
      </c>
      <c r="L44" s="3">
        <v>4.8400000000000007</v>
      </c>
      <c r="M44" s="52">
        <v>36.4</v>
      </c>
      <c r="N44">
        <f t="shared" ref="N44:N62" si="24">M44*10000</f>
        <v>364000</v>
      </c>
      <c r="O44" s="52">
        <v>174.2</v>
      </c>
      <c r="P44">
        <f t="shared" ref="P44:P62" si="25">N44/O44</f>
        <v>2089.5522388059703</v>
      </c>
      <c r="Q44" s="51">
        <v>6.3</v>
      </c>
      <c r="R44" s="52">
        <v>0.04</v>
      </c>
      <c r="S44" s="52">
        <v>2.85</v>
      </c>
      <c r="T44" s="52">
        <v>47.96</v>
      </c>
      <c r="U44" s="52" t="s">
        <v>159</v>
      </c>
      <c r="V44" s="52">
        <v>0.56999999999999995</v>
      </c>
      <c r="W44" s="52">
        <v>0.15</v>
      </c>
      <c r="X44" s="52" t="s">
        <v>159</v>
      </c>
      <c r="Y44" s="52">
        <v>0.02</v>
      </c>
      <c r="Z44" s="52">
        <v>0.25</v>
      </c>
      <c r="AA44" s="52"/>
      <c r="AB44" s="51">
        <v>25.3</v>
      </c>
      <c r="AC44" s="51">
        <f t="shared" ref="AC44:AC61" si="26">SUM(R44:AA44)</f>
        <v>51.84</v>
      </c>
      <c r="AD44" s="52">
        <v>84.89</v>
      </c>
      <c r="AE44" s="52">
        <f t="shared" ref="AE44:AE61" si="27">100/AC44</f>
        <v>1.9290123456790123</v>
      </c>
      <c r="AF44" s="52">
        <f t="shared" ref="AF44:AF61" si="28">Z44*AE44</f>
        <v>0.48225308641975306</v>
      </c>
      <c r="AG44" s="52">
        <f t="shared" ref="AG44:AG61" si="29">AE44*AA44</f>
        <v>0</v>
      </c>
      <c r="AH44" s="52">
        <f t="shared" ref="AH44:AH61" si="30">AE44*R44</f>
        <v>7.716049382716049E-2</v>
      </c>
      <c r="AI44" s="52">
        <f t="shared" ref="AI44:AI61" si="31">AE44*V44</f>
        <v>1.099537037037037</v>
      </c>
      <c r="AJ44" s="52">
        <f t="shared" ref="AJ44:AJ61" si="32">AE44*W44</f>
        <v>0.2893518518518518</v>
      </c>
      <c r="AK44" s="52">
        <f t="shared" ref="AK44:AK61" si="33">AE44*T44</f>
        <v>92.51543209876543</v>
      </c>
      <c r="AL44" s="52">
        <f t="shared" ref="AL44:AL61" si="34">AE44*S44</f>
        <v>5.4976851851851851</v>
      </c>
      <c r="AM44" s="52" t="e">
        <f t="shared" ref="AM44:AM61" si="35">AE44*X44</f>
        <v>#VALUE!</v>
      </c>
      <c r="AN44" s="52" t="e">
        <f t="shared" ref="AN44:AN61" si="36">AE44*U44</f>
        <v>#VALUE!</v>
      </c>
      <c r="AO44" s="52">
        <f t="shared" ref="AO44:AO61" si="37">AE44*Y44</f>
        <v>3.8580246913580245E-2</v>
      </c>
      <c r="AP44" s="50">
        <v>2</v>
      </c>
      <c r="AQ44" s="50" t="s">
        <v>205</v>
      </c>
      <c r="AR44" s="51">
        <v>1.1000000000000001</v>
      </c>
      <c r="AS44" s="51">
        <v>1.2</v>
      </c>
      <c r="AT44" s="51">
        <v>6.6</v>
      </c>
      <c r="AU44" s="51">
        <v>2012.7</v>
      </c>
      <c r="AV44" s="50">
        <v>24</v>
      </c>
      <c r="AW44" s="51" t="s">
        <v>206</v>
      </c>
      <c r="AX44" s="80">
        <v>66900</v>
      </c>
      <c r="AY44" s="52">
        <v>0.54</v>
      </c>
      <c r="AZ44" s="3">
        <v>0.28000000000000003</v>
      </c>
      <c r="BA44" s="52">
        <v>0.17</v>
      </c>
      <c r="BB44" s="51" t="s">
        <v>207</v>
      </c>
      <c r="BC44" s="52">
        <v>0.59</v>
      </c>
      <c r="BD44" s="51" t="s">
        <v>206</v>
      </c>
      <c r="BE44" s="52">
        <v>0.74</v>
      </c>
      <c r="BG44" s="51">
        <v>6</v>
      </c>
      <c r="BI44" s="52">
        <v>0.01</v>
      </c>
      <c r="BJ44" s="51">
        <v>1.9</v>
      </c>
      <c r="BK44" s="60">
        <v>0.5</v>
      </c>
      <c r="BL44" s="51">
        <v>2.8</v>
      </c>
      <c r="BM44" s="50">
        <v>81199.999999999985</v>
      </c>
      <c r="BN44" s="51">
        <v>189.7</v>
      </c>
      <c r="BO44" s="52">
        <v>0.78</v>
      </c>
      <c r="BP44" s="51">
        <v>0.2</v>
      </c>
      <c r="BQ44" s="51">
        <v>12.2</v>
      </c>
      <c r="BR44" s="50" t="s">
        <v>205</v>
      </c>
      <c r="BS44" s="52">
        <v>0.53</v>
      </c>
      <c r="BT44" s="50">
        <v>2</v>
      </c>
      <c r="BU44" s="51">
        <v>36.6</v>
      </c>
      <c r="BV44" s="51" t="s">
        <v>206</v>
      </c>
      <c r="BW44" s="52">
        <v>0.1</v>
      </c>
      <c r="BX44" s="51"/>
      <c r="BY44" s="50"/>
      <c r="BZ44" s="53"/>
      <c r="CA44" s="52">
        <v>0.03</v>
      </c>
      <c r="CB44" s="51" t="s">
        <v>206</v>
      </c>
      <c r="CC44" s="50">
        <v>18</v>
      </c>
      <c r="CD44" s="51" t="s">
        <v>207</v>
      </c>
      <c r="CE44" s="51">
        <v>3.1</v>
      </c>
      <c r="CF44" s="52">
        <v>0.18</v>
      </c>
      <c r="CG44" s="50">
        <v>83</v>
      </c>
      <c r="CH44" s="51">
        <v>1.1000000000000001</v>
      </c>
      <c r="CI44" s="53"/>
      <c r="CJ44" s="3">
        <f>AE44*AP44/6.6</f>
        <v>0.58454919566030672</v>
      </c>
      <c r="CK44" s="3">
        <f>AE44*BX44/0.0795</f>
        <v>0</v>
      </c>
      <c r="CL44" s="3">
        <f>AE44*BK44/0.658</f>
        <v>1.4658148523396748</v>
      </c>
      <c r="CM44" s="3">
        <f>AE44*BG44/0.648</f>
        <v>17.861225422953815</v>
      </c>
      <c r="CN44" s="3">
        <f>AE44*AT44/1.675</f>
        <v>7.6008844665561082</v>
      </c>
      <c r="CO44" s="3">
        <f>AE44*BL44/1.25</f>
        <v>4.3209876543209873</v>
      </c>
      <c r="CP44" s="3">
        <f>AE44*BU44/19.9</f>
        <v>3.5478317513493391</v>
      </c>
      <c r="CQ44" s="3">
        <f>AE44*BS44/0.406</f>
        <v>2.5181688256400898</v>
      </c>
      <c r="CR44" s="3">
        <f>AE44*CH44/10.5</f>
        <v>0.20208700764256321</v>
      </c>
      <c r="CS44" s="3"/>
      <c r="CT44" s="3">
        <f>AE44*BA44/0.154</f>
        <v>2.1294292127625463</v>
      </c>
      <c r="CU44" s="3">
        <f>AE44*BC44/0.544</f>
        <v>2.0921273602033401</v>
      </c>
      <c r="CV44" s="3">
        <f>AE44*AY44/0.674</f>
        <v>1.5454995054401583</v>
      </c>
      <c r="CW44" s="3">
        <f>AE44*AZ44/0.438</f>
        <v>1.2331585771464006</v>
      </c>
      <c r="CX44" s="3">
        <f>AE44*CF44/0.441</f>
        <v>0.78735197782816824</v>
      </c>
      <c r="DB44" s="23"/>
      <c r="DC44" s="23"/>
      <c r="DH44" s="4">
        <f>K44*38/M44/10000</f>
        <v>6.9840659340659341</v>
      </c>
      <c r="DI44" s="48" t="s">
        <v>213</v>
      </c>
      <c r="DJ44" s="48" t="s">
        <v>213</v>
      </c>
      <c r="DK44" s="4">
        <f t="shared" si="15"/>
        <v>3.2777777777777777</v>
      </c>
      <c r="DL44" s="1"/>
      <c r="DN44" s="4">
        <f t="shared" si="16"/>
        <v>22.685185185185183</v>
      </c>
      <c r="DO44" s="102">
        <f>1000*AX44/G44</f>
        <v>77682.303762192285</v>
      </c>
      <c r="DP44" s="102" t="e">
        <f>G44/F44</f>
        <v>#DIV/0!</v>
      </c>
      <c r="DQ44" s="4">
        <f>BM44/K44</f>
        <v>1.2137518684603885</v>
      </c>
    </row>
    <row r="45" spans="1:121">
      <c r="E45" s="50"/>
      <c r="F45" s="50"/>
      <c r="G45" s="51"/>
      <c r="H45" s="51"/>
      <c r="K45" s="50"/>
      <c r="L45" s="3"/>
      <c r="M45" s="52"/>
      <c r="O45" s="52"/>
      <c r="P45"/>
      <c r="Q45" s="51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1"/>
      <c r="AC45" s="51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0"/>
      <c r="AQ45" s="50"/>
      <c r="AR45" s="51"/>
      <c r="AS45" s="51"/>
      <c r="AT45" s="51"/>
      <c r="AU45" s="51"/>
      <c r="AV45" s="50"/>
      <c r="AW45" s="51"/>
      <c r="AX45" s="50"/>
      <c r="AY45" s="52"/>
      <c r="AZ45" s="3"/>
      <c r="BA45" s="52"/>
      <c r="BB45" s="51"/>
      <c r="BC45" s="52"/>
      <c r="BD45" s="51"/>
      <c r="BE45" s="52"/>
      <c r="BG45" s="51"/>
      <c r="BI45" s="52"/>
      <c r="BJ45" s="51"/>
      <c r="BK45" s="60"/>
      <c r="BL45" s="51"/>
      <c r="BM45" s="50"/>
      <c r="BN45" s="51"/>
      <c r="BO45" s="52"/>
      <c r="BP45" s="51"/>
      <c r="BQ45" s="51"/>
      <c r="BR45" s="50"/>
      <c r="BS45" s="52"/>
      <c r="BT45" s="50"/>
      <c r="BU45" s="51"/>
      <c r="BV45" s="51"/>
      <c r="BW45" s="52"/>
      <c r="BX45" s="51"/>
      <c r="BY45" s="50"/>
      <c r="BZ45" s="53"/>
      <c r="CA45" s="52"/>
      <c r="CB45" s="51"/>
      <c r="CC45" s="50"/>
      <c r="CD45" s="51"/>
      <c r="CE45" s="51"/>
      <c r="CF45" s="52"/>
      <c r="CG45" s="50"/>
      <c r="CH45" s="51"/>
      <c r="CI45" s="5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DB45" s="23"/>
      <c r="DC45" s="23"/>
      <c r="DH45" s="4"/>
      <c r="DI45" s="48"/>
      <c r="DJ45" s="48"/>
      <c r="DK45" s="4" t="e">
        <f t="shared" si="15"/>
        <v>#DIV/0!</v>
      </c>
      <c r="DL45" s="1"/>
      <c r="DN45" s="4" t="e">
        <f t="shared" si="16"/>
        <v>#DIV/0!</v>
      </c>
      <c r="DO45" s="102"/>
      <c r="DP45" s="102" t="e">
        <f>G45/F45</f>
        <v>#DIV/0!</v>
      </c>
      <c r="DQ45" s="4" t="e">
        <f>BM45/K45</f>
        <v>#DIV/0!</v>
      </c>
    </row>
    <row r="46" spans="1:121">
      <c r="A46" t="s">
        <v>214</v>
      </c>
      <c r="B46" t="s">
        <v>215</v>
      </c>
      <c r="C46">
        <v>48.35</v>
      </c>
      <c r="D46" t="s">
        <v>72</v>
      </c>
      <c r="E46" s="50">
        <v>9</v>
      </c>
      <c r="F46" s="50"/>
      <c r="G46" s="51">
        <v>6.6</v>
      </c>
      <c r="H46" s="51">
        <v>4.0999999999999996</v>
      </c>
      <c r="K46" s="50">
        <v>388.1</v>
      </c>
      <c r="L46" s="3">
        <v>3.7033333333333331</v>
      </c>
      <c r="M46" s="52">
        <v>0.28999999999999998</v>
      </c>
      <c r="N46">
        <f t="shared" si="24"/>
        <v>2900</v>
      </c>
      <c r="O46" s="52">
        <v>1.3</v>
      </c>
      <c r="P46">
        <f t="shared" si="25"/>
        <v>2230.7692307692305</v>
      </c>
      <c r="Q46" s="51" t="s">
        <v>211</v>
      </c>
      <c r="R46" s="52">
        <v>15.09</v>
      </c>
      <c r="S46" s="52">
        <v>4.03</v>
      </c>
      <c r="T46" s="52">
        <v>12.14</v>
      </c>
      <c r="U46" s="52">
        <v>1.1000000000000001</v>
      </c>
      <c r="V46" s="52">
        <v>12</v>
      </c>
      <c r="W46" s="52">
        <v>0.23</v>
      </c>
      <c r="X46" s="52">
        <v>1.48</v>
      </c>
      <c r="Y46" s="52">
        <v>0.04</v>
      </c>
      <c r="Z46" s="52">
        <v>43.68</v>
      </c>
      <c r="AA46" s="52">
        <v>0.83</v>
      </c>
      <c r="AB46" s="51">
        <v>8.8000000000000007</v>
      </c>
      <c r="AC46" s="51">
        <f t="shared" si="26"/>
        <v>90.61999999999999</v>
      </c>
      <c r="AD46" s="52">
        <v>99.61</v>
      </c>
      <c r="AE46" s="52">
        <f t="shared" si="27"/>
        <v>1.1035091591260209</v>
      </c>
      <c r="AF46" s="52">
        <f t="shared" si="28"/>
        <v>48.201280070624591</v>
      </c>
      <c r="AG46" s="52">
        <f t="shared" si="29"/>
        <v>0.91591260207459724</v>
      </c>
      <c r="AH46" s="52">
        <f t="shared" si="30"/>
        <v>16.651953211211655</v>
      </c>
      <c r="AI46" s="52">
        <f t="shared" si="31"/>
        <v>13.242109909512251</v>
      </c>
      <c r="AJ46" s="52">
        <f t="shared" si="32"/>
        <v>0.25380710659898481</v>
      </c>
      <c r="AK46" s="52">
        <f t="shared" si="33"/>
        <v>13.396601191789895</v>
      </c>
      <c r="AL46" s="52">
        <f t="shared" si="34"/>
        <v>4.4471419112778641</v>
      </c>
      <c r="AM46" s="52">
        <f t="shared" si="35"/>
        <v>1.6331935555065109</v>
      </c>
      <c r="AN46" s="52">
        <f t="shared" si="36"/>
        <v>1.213860075038623</v>
      </c>
      <c r="AO46" s="52">
        <f t="shared" si="37"/>
        <v>4.4140366365040838E-2</v>
      </c>
      <c r="AP46" s="50">
        <v>526</v>
      </c>
      <c r="AQ46" s="50" t="s">
        <v>205</v>
      </c>
      <c r="AR46" s="51" t="s">
        <v>206</v>
      </c>
      <c r="AS46" s="51" t="s">
        <v>206</v>
      </c>
      <c r="AT46" s="51">
        <v>11.1</v>
      </c>
      <c r="AU46" s="51">
        <v>75.5</v>
      </c>
      <c r="AV46" s="50">
        <v>357</v>
      </c>
      <c r="AW46" s="51">
        <v>8.6999999999999993</v>
      </c>
      <c r="AX46" s="50">
        <v>388.1</v>
      </c>
      <c r="AY46" s="52">
        <v>3.67</v>
      </c>
      <c r="AZ46" s="3">
        <v>2.2400000000000002</v>
      </c>
      <c r="BA46" s="52">
        <v>0.68</v>
      </c>
      <c r="BB46" s="51">
        <v>13.7</v>
      </c>
      <c r="BC46" s="52">
        <v>2.69</v>
      </c>
      <c r="BD46" s="51">
        <v>1.5</v>
      </c>
      <c r="BE46" s="52">
        <v>0.75</v>
      </c>
      <c r="BG46" s="51">
        <v>6.3</v>
      </c>
      <c r="BI46" s="52">
        <v>0.31</v>
      </c>
      <c r="BJ46" s="51">
        <v>0.2</v>
      </c>
      <c r="BK46" s="60">
        <v>3.1</v>
      </c>
      <c r="BL46" s="51">
        <v>6.5</v>
      </c>
      <c r="BM46" s="50">
        <v>602</v>
      </c>
      <c r="BN46" s="51">
        <v>3.3</v>
      </c>
      <c r="BO46" s="52">
        <v>1.36</v>
      </c>
      <c r="BP46" s="51">
        <v>44.2</v>
      </c>
      <c r="BQ46" s="51" t="s">
        <v>206</v>
      </c>
      <c r="BR46" s="50">
        <v>36</v>
      </c>
      <c r="BS46" s="52">
        <v>1.78</v>
      </c>
      <c r="BT46" s="50" t="s">
        <v>205</v>
      </c>
      <c r="BU46" s="51">
        <v>142.30000000000001</v>
      </c>
      <c r="BV46" s="51">
        <v>0.1</v>
      </c>
      <c r="BW46" s="52">
        <v>0.5</v>
      </c>
      <c r="BX46" s="51">
        <v>1</v>
      </c>
      <c r="BY46" s="50">
        <f>10000*AA46*47.867/79.867</f>
        <v>4974.4713085504645</v>
      </c>
      <c r="BZ46" s="53"/>
      <c r="CA46" s="52">
        <v>0.34</v>
      </c>
      <c r="CB46" s="51">
        <v>0.4</v>
      </c>
      <c r="CC46" s="50">
        <v>260</v>
      </c>
      <c r="CD46" s="51" t="s">
        <v>207</v>
      </c>
      <c r="CE46" s="51">
        <v>19.399999999999999</v>
      </c>
      <c r="CF46" s="52">
        <v>2.06</v>
      </c>
      <c r="CG46" s="50">
        <v>73</v>
      </c>
      <c r="CH46" s="51">
        <v>50.1</v>
      </c>
      <c r="CI46" s="53"/>
      <c r="CJ46" s="3">
        <f>AE46*AP46/6.6</f>
        <v>87.946336015195001</v>
      </c>
      <c r="CK46" s="3">
        <f>AE46*BX46/0.0795</f>
        <v>13.880618353786426</v>
      </c>
      <c r="CL46" s="3">
        <f>AE46*BK46/0.658</f>
        <v>5.198903333268488</v>
      </c>
      <c r="CM46" s="3">
        <f>AE46*BG46/0.648</f>
        <v>10.728561269280759</v>
      </c>
      <c r="CN46" s="3">
        <f>AE46*AT46/1.675</f>
        <v>7.3128069649545262</v>
      </c>
      <c r="CO46" s="3">
        <f>AE46*BL46/1.25</f>
        <v>5.7382476274553085</v>
      </c>
      <c r="CP46" s="3">
        <f>AE46*BU46/19.9</f>
        <v>7.8909222785745117</v>
      </c>
      <c r="CQ46" s="3">
        <f>AE46*BS46/0.406</f>
        <v>4.8380450818825542</v>
      </c>
      <c r="CR46" s="3">
        <f>AE46*CH46/10.5</f>
        <v>5.2653151306870143</v>
      </c>
      <c r="CS46" s="3">
        <f>AE46*BY46/2000</f>
        <v>2.7446873253975199</v>
      </c>
      <c r="CT46" s="3">
        <f>AE46*BA46/0.154</f>
        <v>4.8726378454915213</v>
      </c>
      <c r="CU46" s="3">
        <f>AE46*BC46/0.544</f>
        <v>5.4566905111194774</v>
      </c>
      <c r="CV46" s="3">
        <f>AE46*AY46/0.674</f>
        <v>6.0087219792173538</v>
      </c>
      <c r="CW46" s="3">
        <f>AE46*AZ46/0.438</f>
        <v>5.6435171608271393</v>
      </c>
      <c r="CX46" s="3">
        <f>AE46*CF46/0.441</f>
        <v>5.154713985940143</v>
      </c>
      <c r="DB46" s="23">
        <f t="shared" si="22"/>
        <v>0.37454407294832831</v>
      </c>
      <c r="DC46" s="23">
        <f t="shared" si="23"/>
        <v>2.6928008792819198</v>
      </c>
      <c r="DH46" s="4">
        <f>K46*38/M46/10000</f>
        <v>5.0854482758620696</v>
      </c>
      <c r="DI46" s="48" t="s">
        <v>213</v>
      </c>
      <c r="DJ46" s="48" t="s">
        <v>213</v>
      </c>
      <c r="DK46" s="4">
        <f t="shared" si="15"/>
        <v>1.3058252427184465</v>
      </c>
      <c r="DL46" s="1">
        <v>2307.6923076923076</v>
      </c>
      <c r="DN46" s="4">
        <f t="shared" si="16"/>
        <v>2.0813106796116503</v>
      </c>
      <c r="DO46" s="102">
        <f>1000*AX46/G46</f>
        <v>58803.030303030304</v>
      </c>
      <c r="DP46" s="102" t="e">
        <f>G46/F46</f>
        <v>#DIV/0!</v>
      </c>
      <c r="DQ46" s="4">
        <f>BM46/K46</f>
        <v>1.5511466116980159</v>
      </c>
    </row>
    <row r="47" spans="1:121">
      <c r="A47" t="s">
        <v>216</v>
      </c>
      <c r="B47" t="s">
        <v>215</v>
      </c>
      <c r="C47">
        <v>49.52</v>
      </c>
      <c r="D47" t="s">
        <v>72</v>
      </c>
      <c r="E47" s="50">
        <v>6</v>
      </c>
      <c r="F47" s="50"/>
      <c r="G47" s="51">
        <v>1.8</v>
      </c>
      <c r="H47" s="51">
        <v>1</v>
      </c>
      <c r="K47" s="50">
        <v>149.80000000000001</v>
      </c>
      <c r="L47" s="3">
        <v>4.62</v>
      </c>
      <c r="M47" s="52">
        <v>0.27</v>
      </c>
      <c r="N47">
        <f t="shared" si="24"/>
        <v>2700</v>
      </c>
      <c r="O47" s="52">
        <v>0.50900000000000001</v>
      </c>
      <c r="P47">
        <f t="shared" si="25"/>
        <v>5304.5186640471511</v>
      </c>
      <c r="Q47" s="51">
        <v>8.9999999999999993E-3</v>
      </c>
      <c r="R47" s="52">
        <v>15.76</v>
      </c>
      <c r="S47" s="52">
        <v>5.39</v>
      </c>
      <c r="T47" s="52">
        <v>10.23</v>
      </c>
      <c r="U47" s="52">
        <v>1.44</v>
      </c>
      <c r="V47" s="52">
        <v>9.57</v>
      </c>
      <c r="W47" s="52">
        <v>0.2</v>
      </c>
      <c r="X47" s="52">
        <v>2.2599999999999998</v>
      </c>
      <c r="Y47" s="52">
        <v>0.06</v>
      </c>
      <c r="Z47" s="52">
        <v>44.71</v>
      </c>
      <c r="AA47" s="52">
        <v>0.93</v>
      </c>
      <c r="AB47" s="51">
        <v>9.1</v>
      </c>
      <c r="AC47" s="51">
        <f t="shared" si="26"/>
        <v>90.550000000000011</v>
      </c>
      <c r="AD47" s="52">
        <v>99.7</v>
      </c>
      <c r="AE47" s="52">
        <f t="shared" si="27"/>
        <v>1.104362230811706</v>
      </c>
      <c r="AF47" s="52">
        <f t="shared" si="28"/>
        <v>49.376035339591375</v>
      </c>
      <c r="AG47" s="52">
        <f t="shared" si="29"/>
        <v>1.0270568746548867</v>
      </c>
      <c r="AH47" s="52">
        <f t="shared" si="30"/>
        <v>17.404748757592486</v>
      </c>
      <c r="AI47" s="52">
        <f t="shared" si="31"/>
        <v>10.568746548868027</v>
      </c>
      <c r="AJ47" s="52">
        <f t="shared" si="32"/>
        <v>0.22087244616234122</v>
      </c>
      <c r="AK47" s="52">
        <f t="shared" si="33"/>
        <v>11.297625621203753</v>
      </c>
      <c r="AL47" s="52">
        <f t="shared" si="34"/>
        <v>5.9525124240750955</v>
      </c>
      <c r="AM47" s="52">
        <f t="shared" si="35"/>
        <v>2.4958586416344555</v>
      </c>
      <c r="AN47" s="52">
        <f t="shared" si="36"/>
        <v>1.5902816123688566</v>
      </c>
      <c r="AO47" s="52">
        <f t="shared" si="37"/>
        <v>6.6261733848702362E-2</v>
      </c>
      <c r="AP47" s="50">
        <v>318</v>
      </c>
      <c r="AQ47" s="50">
        <v>1</v>
      </c>
      <c r="AR47" s="51" t="s">
        <v>206</v>
      </c>
      <c r="AS47" s="51" t="s">
        <v>206</v>
      </c>
      <c r="AT47" s="51">
        <v>11</v>
      </c>
      <c r="AU47" s="51">
        <v>53.1</v>
      </c>
      <c r="AV47" s="50">
        <v>254</v>
      </c>
      <c r="AW47" s="51">
        <v>9.4</v>
      </c>
      <c r="AX47" s="50">
        <v>149.80000000000001</v>
      </c>
      <c r="AY47" s="52">
        <v>3.15</v>
      </c>
      <c r="AZ47" s="3">
        <v>2.36</v>
      </c>
      <c r="BA47" s="52">
        <v>0.82</v>
      </c>
      <c r="BB47" s="51">
        <v>13.5</v>
      </c>
      <c r="BC47" s="52">
        <v>2.83</v>
      </c>
      <c r="BD47" s="51">
        <v>1.6</v>
      </c>
      <c r="BE47" s="52">
        <v>0.13</v>
      </c>
      <c r="BG47" s="51">
        <v>4.5</v>
      </c>
      <c r="BI47" s="52">
        <v>0.32</v>
      </c>
      <c r="BJ47" s="51">
        <v>0.2</v>
      </c>
      <c r="BK47" s="60">
        <v>3.1</v>
      </c>
      <c r="BL47" s="51">
        <v>7.6</v>
      </c>
      <c r="BM47" s="50">
        <v>190</v>
      </c>
      <c r="BN47" s="51">
        <v>2</v>
      </c>
      <c r="BO47" s="52">
        <v>1.52</v>
      </c>
      <c r="BP47" s="51">
        <v>57.7</v>
      </c>
      <c r="BQ47" s="51" t="s">
        <v>206</v>
      </c>
      <c r="BR47" s="50">
        <v>41</v>
      </c>
      <c r="BS47" s="52">
        <v>2.41</v>
      </c>
      <c r="BT47" s="50" t="s">
        <v>205</v>
      </c>
      <c r="BU47" s="51">
        <v>183.4</v>
      </c>
      <c r="BV47" s="51">
        <v>0.2</v>
      </c>
      <c r="BW47" s="52">
        <v>0.57999999999999996</v>
      </c>
      <c r="BX47" s="51">
        <v>1.1000000000000001</v>
      </c>
      <c r="BY47" s="50">
        <f>10000*AA47*47.867/79.867</f>
        <v>5573.8052011469063</v>
      </c>
      <c r="BZ47" s="53"/>
      <c r="CA47" s="52">
        <v>0.27</v>
      </c>
      <c r="CB47" s="51">
        <v>0.4</v>
      </c>
      <c r="CC47" s="50">
        <v>281</v>
      </c>
      <c r="CD47" s="51">
        <v>0.6</v>
      </c>
      <c r="CE47" s="51">
        <v>19.899999999999999</v>
      </c>
      <c r="CF47" s="52">
        <v>2.5</v>
      </c>
      <c r="CG47" s="50">
        <v>76</v>
      </c>
      <c r="CH47" s="51">
        <v>55.4</v>
      </c>
      <c r="CI47" s="53"/>
      <c r="CJ47" s="3">
        <f>AE47*AP47/6.6</f>
        <v>53.21018021183675</v>
      </c>
      <c r="CK47" s="3">
        <f>AE47*BX47/0.0795</f>
        <v>15.280483696765744</v>
      </c>
      <c r="CL47" s="3">
        <f>AE47*BK47/0.658</f>
        <v>5.2029223640065174</v>
      </c>
      <c r="CM47" s="3">
        <f>AE47*BG47/0.648</f>
        <v>7.6691821584146247</v>
      </c>
      <c r="CN47" s="3">
        <f>AE47*AT47/1.675</f>
        <v>7.2525280829425469</v>
      </c>
      <c r="CO47" s="3">
        <f>AE47*BL47/1.25</f>
        <v>6.7145223633351723</v>
      </c>
      <c r="CP47" s="3">
        <f>AE47*BU47/19.9</f>
        <v>10.177891112103865</v>
      </c>
      <c r="CQ47" s="3">
        <f>AE47*BS47/0.406</f>
        <v>6.555450680434018</v>
      </c>
      <c r="CR47" s="3">
        <f>AE47*CH47/10.5</f>
        <v>5.8268254844731917</v>
      </c>
      <c r="CS47" s="3">
        <f>AE47*BY47/2000</f>
        <v>3.0777499730242432</v>
      </c>
      <c r="CT47" s="3">
        <f>AE47*BA47/0.154</f>
        <v>5.8803703199064863</v>
      </c>
      <c r="CU47" s="3">
        <f>AE47*BC47/0.544</f>
        <v>5.7451196933770738</v>
      </c>
      <c r="CV47" s="3">
        <f>AE47*AY47/0.674</f>
        <v>5.1613368353959554</v>
      </c>
      <c r="CW47" s="3">
        <f>AE47*AZ47/0.438</f>
        <v>5.9504448966110193</v>
      </c>
      <c r="CX47" s="3">
        <f>AE47*CF47/0.441</f>
        <v>6.2605568640119387</v>
      </c>
      <c r="DB47" s="23">
        <f t="shared" si="22"/>
        <v>0.34049461177120749</v>
      </c>
      <c r="DC47" s="23">
        <f t="shared" si="23"/>
        <v>2.4407547169811323</v>
      </c>
      <c r="DH47" s="4">
        <f>K47*38/M47/10000</f>
        <v>2.1082962962962966</v>
      </c>
      <c r="DI47" s="48" t="s">
        <v>213</v>
      </c>
      <c r="DJ47" s="48" t="s">
        <v>213</v>
      </c>
      <c r="DK47" s="4">
        <f t="shared" si="15"/>
        <v>1.1320000000000001</v>
      </c>
      <c r="DL47" s="1"/>
      <c r="DN47" s="4">
        <f t="shared" si="16"/>
        <v>1.2249999999999999</v>
      </c>
      <c r="DO47" s="102">
        <f>1000*AX47/G47</f>
        <v>83222.222222222219</v>
      </c>
      <c r="DP47" s="102" t="e">
        <f>G47/F47</f>
        <v>#DIV/0!</v>
      </c>
      <c r="DQ47" s="4">
        <f>BM47/K47</f>
        <v>1.2683578104138851</v>
      </c>
    </row>
    <row r="48" spans="1:121">
      <c r="E48" s="50"/>
      <c r="F48" s="50"/>
      <c r="G48" s="51"/>
      <c r="H48" s="51"/>
      <c r="K48" s="50"/>
      <c r="L48" s="3"/>
      <c r="M48" s="52"/>
      <c r="O48" s="52"/>
      <c r="P48"/>
      <c r="Q48" s="51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1"/>
      <c r="AC48" s="51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0"/>
      <c r="AQ48" s="50"/>
      <c r="AR48" s="51"/>
      <c r="AS48" s="51"/>
      <c r="AT48" s="51"/>
      <c r="AU48" s="51"/>
      <c r="AV48" s="50"/>
      <c r="AW48" s="51"/>
      <c r="AX48" s="50"/>
      <c r="AY48" s="52"/>
      <c r="AZ48" s="3"/>
      <c r="BA48" s="52"/>
      <c r="BB48" s="51"/>
      <c r="BC48" s="52"/>
      <c r="BD48" s="51"/>
      <c r="BE48" s="52"/>
      <c r="BG48" s="51"/>
      <c r="BI48" s="52"/>
      <c r="BJ48" s="51"/>
      <c r="BK48" s="60"/>
      <c r="BL48" s="51"/>
      <c r="BM48" s="50"/>
      <c r="BN48" s="51"/>
      <c r="BO48" s="52"/>
      <c r="BP48" s="51"/>
      <c r="BQ48" s="51"/>
      <c r="BR48" s="50"/>
      <c r="BS48" s="52"/>
      <c r="BT48" s="50"/>
      <c r="BU48" s="51"/>
      <c r="BV48" s="51"/>
      <c r="BW48" s="52"/>
      <c r="BX48" s="51"/>
      <c r="BY48" s="50"/>
      <c r="BZ48" s="53"/>
      <c r="CA48" s="52"/>
      <c r="CB48" s="51"/>
      <c r="CC48" s="50"/>
      <c r="CD48" s="51"/>
      <c r="CE48" s="51"/>
      <c r="CF48" s="52"/>
      <c r="CG48" s="50"/>
      <c r="CH48" s="51"/>
      <c r="CI48" s="5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DB48" s="23"/>
      <c r="DC48" s="23"/>
      <c r="DH48" s="4"/>
      <c r="DI48" s="48"/>
      <c r="DJ48" s="48"/>
      <c r="DK48" s="4" t="e">
        <f t="shared" si="15"/>
        <v>#DIV/0!</v>
      </c>
      <c r="DL48" s="1"/>
      <c r="DN48" s="4" t="e">
        <f t="shared" si="16"/>
        <v>#DIV/0!</v>
      </c>
      <c r="DO48" s="102"/>
      <c r="DP48" s="102" t="e">
        <f>G48/F48</f>
        <v>#DIV/0!</v>
      </c>
      <c r="DQ48" s="4" t="e">
        <f>BM48/K48</f>
        <v>#DIV/0!</v>
      </c>
    </row>
    <row r="49" spans="1:122" s="36" customFormat="1" ht="15">
      <c r="A49" t="s">
        <v>240</v>
      </c>
      <c r="B49" t="s">
        <v>215</v>
      </c>
      <c r="C49" s="55">
        <v>64.8</v>
      </c>
      <c r="D49" s="55" t="s">
        <v>246</v>
      </c>
      <c r="E49" s="50">
        <v>333</v>
      </c>
      <c r="F49" s="50"/>
      <c r="G49" s="51">
        <v>131.1</v>
      </c>
      <c r="H49" s="51">
        <v>35.200000000000003</v>
      </c>
      <c r="I49"/>
      <c r="J49"/>
      <c r="K49" s="80">
        <v>9531.6</v>
      </c>
      <c r="L49" s="3">
        <v>3.74</v>
      </c>
      <c r="M49" s="52">
        <v>1.2</v>
      </c>
      <c r="N49">
        <f t="shared" si="24"/>
        <v>12000</v>
      </c>
      <c r="O49" s="52">
        <v>2.2999999999999998</v>
      </c>
      <c r="P49" s="86">
        <f t="shared" si="25"/>
        <v>5217.3913043478269</v>
      </c>
      <c r="Q49" s="51">
        <v>0.3</v>
      </c>
      <c r="R49" s="52">
        <v>14.12</v>
      </c>
      <c r="S49" s="52">
        <v>2.71</v>
      </c>
      <c r="T49" s="52">
        <v>30.5</v>
      </c>
      <c r="U49" s="52" t="s">
        <v>159</v>
      </c>
      <c r="V49" s="52">
        <v>10.55</v>
      </c>
      <c r="W49" s="52">
        <v>0.21</v>
      </c>
      <c r="X49" s="52">
        <v>0.02</v>
      </c>
      <c r="Y49" s="52">
        <v>0.03</v>
      </c>
      <c r="Z49" s="52">
        <v>29.63</v>
      </c>
      <c r="AA49" s="52">
        <v>0.79</v>
      </c>
      <c r="AB49" s="51">
        <v>9.4</v>
      </c>
      <c r="AC49" s="51">
        <f>SUM(R49:AA49)</f>
        <v>88.56</v>
      </c>
      <c r="AD49" s="52">
        <v>98.66</v>
      </c>
      <c r="AE49" s="52">
        <f>100/AC49</f>
        <v>1.1291779584462511</v>
      </c>
      <c r="AF49" s="52">
        <f>Z49*AE49</f>
        <v>33.45754290876242</v>
      </c>
      <c r="AG49" s="52">
        <f>AE49*AA49</f>
        <v>0.89205058717253838</v>
      </c>
      <c r="AH49" s="52">
        <f>AE49*R49</f>
        <v>15.943992773261066</v>
      </c>
      <c r="AI49" s="52">
        <f>AE49*V49</f>
        <v>11.91282746160795</v>
      </c>
      <c r="AJ49" s="52">
        <f>AE49*W49</f>
        <v>0.23712737127371272</v>
      </c>
      <c r="AK49" s="52">
        <f>AE49*T49</f>
        <v>34.439927732610663</v>
      </c>
      <c r="AL49" s="52">
        <f>AE49*S49</f>
        <v>3.0600722673893404</v>
      </c>
      <c r="AM49" s="52">
        <f>AE49*X49</f>
        <v>2.2583559168925023E-2</v>
      </c>
      <c r="AN49" s="52" t="e">
        <f>AE49*U49</f>
        <v>#VALUE!</v>
      </c>
      <c r="AO49" s="52">
        <f>AE49*Y49</f>
        <v>3.3875338753387531E-2</v>
      </c>
      <c r="AP49" s="50">
        <v>14</v>
      </c>
      <c r="AQ49" s="50">
        <v>1</v>
      </c>
      <c r="AR49" s="51" t="s">
        <v>206</v>
      </c>
      <c r="AS49" s="51">
        <v>1.2</v>
      </c>
      <c r="AT49" s="51">
        <v>12.4</v>
      </c>
      <c r="AU49" s="51">
        <v>42.7</v>
      </c>
      <c r="AV49" s="50">
        <v>522</v>
      </c>
      <c r="AW49" s="51">
        <v>13.7</v>
      </c>
      <c r="AX49" s="80">
        <v>9531.6</v>
      </c>
      <c r="AY49" s="52">
        <v>2.31</v>
      </c>
      <c r="AZ49" s="3">
        <v>1.3</v>
      </c>
      <c r="BA49" s="52">
        <v>0.47</v>
      </c>
      <c r="BB49" s="51">
        <v>12.6</v>
      </c>
      <c r="BC49" s="52">
        <v>2.15</v>
      </c>
      <c r="BD49" s="51">
        <v>1.6</v>
      </c>
      <c r="BE49" s="52">
        <v>0.5</v>
      </c>
      <c r="BF49"/>
      <c r="BG49" s="51">
        <v>0.5</v>
      </c>
      <c r="BH49"/>
      <c r="BI49" s="52">
        <v>0.19</v>
      </c>
      <c r="BJ49" s="51">
        <v>2</v>
      </c>
      <c r="BK49" s="60">
        <v>2.6</v>
      </c>
      <c r="BL49" s="51">
        <v>7.5</v>
      </c>
      <c r="BM49" s="50">
        <v>4648</v>
      </c>
      <c r="BN49" s="51">
        <v>7.8</v>
      </c>
      <c r="BO49" s="52">
        <v>1.48</v>
      </c>
      <c r="BP49" s="51">
        <v>1</v>
      </c>
      <c r="BQ49" s="51" t="s">
        <v>206</v>
      </c>
      <c r="BR49" s="50">
        <v>37</v>
      </c>
      <c r="BS49" s="52">
        <v>2.02</v>
      </c>
      <c r="BT49" s="50">
        <v>1</v>
      </c>
      <c r="BU49" s="51">
        <v>14.8</v>
      </c>
      <c r="BV49" s="51">
        <v>0.2</v>
      </c>
      <c r="BW49" s="52">
        <v>0.4</v>
      </c>
      <c r="BX49" s="51">
        <v>0.7</v>
      </c>
      <c r="BY49" s="50">
        <f>10000*AA49*47.867/79.867</f>
        <v>4734.7377515118878</v>
      </c>
      <c r="BZ49" s="53"/>
      <c r="CA49" s="52">
        <v>0.19</v>
      </c>
      <c r="CB49" s="51">
        <v>0.2</v>
      </c>
      <c r="CC49" s="50">
        <v>249</v>
      </c>
      <c r="CD49" s="51" t="s">
        <v>207</v>
      </c>
      <c r="CE49" s="51">
        <v>12.4</v>
      </c>
      <c r="CF49" s="52">
        <v>1.28</v>
      </c>
      <c r="CG49" s="50">
        <v>291</v>
      </c>
      <c r="CH49" s="51">
        <v>46.6</v>
      </c>
      <c r="CI49" s="53"/>
      <c r="CJ49" s="3">
        <f>AE49*AP49/6.6</f>
        <v>2.3952259724617453</v>
      </c>
      <c r="CK49" s="3">
        <f>AE49*BX49/0.0795</f>
        <v>9.9424474328600727</v>
      </c>
      <c r="CL49" s="3">
        <f>AE49*BK49/0.658</f>
        <v>4.4617974041949129</v>
      </c>
      <c r="CM49" s="3">
        <f>AE49*BG49/0.648</f>
        <v>0.87127928892457651</v>
      </c>
      <c r="CN49" s="3">
        <f>AE49*AT49/1.675</f>
        <v>8.3592875729752318</v>
      </c>
      <c r="CO49" s="3">
        <f>AE49*BL49/1.25</f>
        <v>6.7750677506775059</v>
      </c>
      <c r="CP49" s="3">
        <f>AE49*BU49/19.9</f>
        <v>0.83979064246253865</v>
      </c>
      <c r="CQ49" s="3">
        <f>AE49*BS49/0.406</f>
        <v>5.6180775272448944</v>
      </c>
      <c r="CR49" s="3">
        <f>AE49*CH49/10.5</f>
        <v>5.0113993203424103</v>
      </c>
      <c r="CS49" s="3">
        <f>AE49*BY49/2000</f>
        <v>2.6731807540152936</v>
      </c>
      <c r="CT49" s="3">
        <f>AE49*BA49/0.154</f>
        <v>3.4461924705827145</v>
      </c>
      <c r="CU49" s="3">
        <f>AE49*BC49/0.544</f>
        <v>4.4627437695945575</v>
      </c>
      <c r="CV49" s="3">
        <f>AE49*AY49/0.674</f>
        <v>3.870031281915193</v>
      </c>
      <c r="CW49" s="3">
        <f>AE49*AZ49/0.438</f>
        <v>3.351441429178371</v>
      </c>
      <c r="CX49" s="3">
        <f>AE49*CF49/0.441</f>
        <v>3.277432623154652</v>
      </c>
      <c r="DB49" s="23">
        <f t="shared" si="22"/>
        <v>0.44876248371689098</v>
      </c>
      <c r="DC49" s="23">
        <f t="shared" si="23"/>
        <v>3.0336084905660377</v>
      </c>
      <c r="DH49" s="4">
        <f>K49*38/M49/10000</f>
        <v>30.183399999999999</v>
      </c>
      <c r="DI49" s="48" t="s">
        <v>213</v>
      </c>
      <c r="DJ49" s="48" t="s">
        <v>213</v>
      </c>
      <c r="DK49" s="4">
        <f t="shared" si="15"/>
        <v>1.6796875</v>
      </c>
      <c r="DL49" s="1">
        <v>3913.04347826087</v>
      </c>
      <c r="DN49" s="4">
        <f t="shared" si="16"/>
        <v>0.2658420138888889</v>
      </c>
      <c r="DO49" s="102">
        <f>1000*AX49/G49</f>
        <v>72704.805491990846</v>
      </c>
      <c r="DP49" s="102" t="e">
        <f>G49/F49</f>
        <v>#DIV/0!</v>
      </c>
      <c r="DQ49" s="4">
        <f>BM49/K49</f>
        <v>0.48764110957236978</v>
      </c>
      <c r="DR49"/>
    </row>
    <row r="50" spans="1:122" ht="15">
      <c r="A50" t="s">
        <v>217</v>
      </c>
      <c r="B50" t="s">
        <v>215</v>
      </c>
      <c r="C50">
        <v>65.3</v>
      </c>
      <c r="D50" s="55" t="s">
        <v>246</v>
      </c>
      <c r="E50" s="50">
        <v>723.5</v>
      </c>
      <c r="F50" s="50"/>
      <c r="G50" s="51">
        <v>658.3</v>
      </c>
      <c r="H50" s="51">
        <v>1057</v>
      </c>
      <c r="K50" s="80">
        <v>32900</v>
      </c>
      <c r="L50" s="3">
        <v>8.69</v>
      </c>
      <c r="M50" s="52">
        <v>34.5</v>
      </c>
      <c r="N50">
        <f t="shared" si="24"/>
        <v>345000</v>
      </c>
      <c r="O50" s="52">
        <v>169</v>
      </c>
      <c r="P50">
        <f t="shared" si="25"/>
        <v>2041.4201183431953</v>
      </c>
      <c r="Q50" s="51">
        <v>9.1999999999999993</v>
      </c>
      <c r="R50" s="52">
        <v>0.1</v>
      </c>
      <c r="S50" s="52">
        <v>2.2400000000000002</v>
      </c>
      <c r="T50" s="52">
        <v>49.11</v>
      </c>
      <c r="U50" s="52" t="s">
        <v>159</v>
      </c>
      <c r="V50" s="52">
        <v>1.34</v>
      </c>
      <c r="W50" s="52">
        <v>0.26</v>
      </c>
      <c r="X50" s="52" t="s">
        <v>159</v>
      </c>
      <c r="Y50" s="52">
        <v>0.02</v>
      </c>
      <c r="Z50" s="52">
        <v>2.9</v>
      </c>
      <c r="AA50" s="52"/>
      <c r="AB50" s="51">
        <v>27.9</v>
      </c>
      <c r="AC50" s="51">
        <f t="shared" si="26"/>
        <v>55.970000000000006</v>
      </c>
      <c r="AD50" s="52">
        <v>90.75</v>
      </c>
      <c r="AE50" s="52">
        <f t="shared" si="27"/>
        <v>1.7866714311238161</v>
      </c>
      <c r="AF50" s="52">
        <f t="shared" si="28"/>
        <v>5.1813471502590662</v>
      </c>
      <c r="AG50" s="52">
        <f t="shared" si="29"/>
        <v>0</v>
      </c>
      <c r="AH50" s="52">
        <f t="shared" si="30"/>
        <v>0.17866714311238163</v>
      </c>
      <c r="AI50" s="52">
        <f t="shared" si="31"/>
        <v>2.3941397177059138</v>
      </c>
      <c r="AJ50" s="52">
        <f t="shared" si="32"/>
        <v>0.46453457209219218</v>
      </c>
      <c r="AK50" s="52">
        <f t="shared" si="33"/>
        <v>87.743433982490615</v>
      </c>
      <c r="AL50" s="52">
        <f t="shared" si="34"/>
        <v>4.0021440057173487</v>
      </c>
      <c r="AM50" s="52" t="e">
        <f t="shared" si="35"/>
        <v>#VALUE!</v>
      </c>
      <c r="AN50" s="52" t="e">
        <f t="shared" si="36"/>
        <v>#VALUE!</v>
      </c>
      <c r="AO50" s="52">
        <f t="shared" si="37"/>
        <v>3.5733428622476325E-2</v>
      </c>
      <c r="AP50" s="50">
        <v>5</v>
      </c>
      <c r="AQ50" s="50" t="s">
        <v>205</v>
      </c>
      <c r="AR50" s="51">
        <v>4</v>
      </c>
      <c r="AS50" s="51">
        <v>5.4</v>
      </c>
      <c r="AT50" s="51">
        <v>3.1</v>
      </c>
      <c r="AU50" s="51">
        <v>2076.6999999999998</v>
      </c>
      <c r="AV50" s="50">
        <v>2</v>
      </c>
      <c r="AW50" s="51">
        <v>0.1</v>
      </c>
      <c r="AX50" s="80">
        <v>32900</v>
      </c>
      <c r="AY50" s="52">
        <v>0.72</v>
      </c>
      <c r="AZ50" s="3">
        <v>0.35</v>
      </c>
      <c r="BA50" s="52">
        <v>0.23</v>
      </c>
      <c r="BB50" s="51" t="s">
        <v>207</v>
      </c>
      <c r="BC50" s="52">
        <v>0.73</v>
      </c>
      <c r="BD50" s="51" t="s">
        <v>206</v>
      </c>
      <c r="BE50" s="52">
        <v>0.22</v>
      </c>
      <c r="BG50" s="51">
        <v>5.2</v>
      </c>
      <c r="BI50" s="52">
        <v>0.04</v>
      </c>
      <c r="BJ50" s="51">
        <v>5.0999999999999996</v>
      </c>
      <c r="BK50" s="60"/>
      <c r="BL50" s="51">
        <v>1.7</v>
      </c>
      <c r="BM50" s="50">
        <v>70200</v>
      </c>
      <c r="BN50" s="51">
        <v>99.6</v>
      </c>
      <c r="BO50" s="52">
        <v>0.38</v>
      </c>
      <c r="BP50" s="51">
        <v>0.4</v>
      </c>
      <c r="BQ50" s="51">
        <v>5.0999999999999996</v>
      </c>
      <c r="BR50" s="50" t="s">
        <v>205</v>
      </c>
      <c r="BS50" s="52">
        <v>0.51</v>
      </c>
      <c r="BT50" s="50">
        <v>2</v>
      </c>
      <c r="BU50" s="51">
        <v>52.8</v>
      </c>
      <c r="BV50" s="51" t="s">
        <v>206</v>
      </c>
      <c r="BW50" s="52">
        <v>0.11</v>
      </c>
      <c r="BX50" s="51"/>
      <c r="BY50" s="50"/>
      <c r="BZ50" s="53"/>
      <c r="CA50" s="52">
        <v>0.05</v>
      </c>
      <c r="CB50" s="51" t="s">
        <v>206</v>
      </c>
      <c r="CC50" s="50">
        <v>27</v>
      </c>
      <c r="CD50" s="51" t="s">
        <v>207</v>
      </c>
      <c r="CE50" s="51">
        <v>5.5</v>
      </c>
      <c r="CF50" s="52">
        <v>0.3</v>
      </c>
      <c r="CG50" s="50">
        <v>162</v>
      </c>
      <c r="CH50" s="51">
        <v>0.6</v>
      </c>
      <c r="CI50" s="53"/>
      <c r="CJ50" s="3">
        <f>AE50*AP50/6.6</f>
        <v>1.353538962972588</v>
      </c>
      <c r="CK50" s="3"/>
      <c r="CL50" s="3"/>
      <c r="CM50" s="3">
        <f>AE50*BG50/0.648</f>
        <v>14.337486792968894</v>
      </c>
      <c r="CN50" s="3">
        <f>AE50*AT50/1.675</f>
        <v>3.306675484467958</v>
      </c>
      <c r="CO50" s="3">
        <f>AE50*BL50/1.25</f>
        <v>2.4298731463283896</v>
      </c>
      <c r="CP50" s="3">
        <f>AE50*BU50/19.9</f>
        <v>4.7405151539365571</v>
      </c>
      <c r="CQ50" s="3">
        <f>AE50*BS50/0.406</f>
        <v>2.2443409602786852</v>
      </c>
      <c r="CR50" s="3">
        <f>AE50*CH50/10.5</f>
        <v>0.10209551034993233</v>
      </c>
      <c r="CS50" s="3"/>
      <c r="CT50" s="3">
        <f>AE50*BA50/0.154</f>
        <v>2.6684053841459594</v>
      </c>
      <c r="CU50" s="3">
        <f>AE50*BC50/0.544</f>
        <v>2.397555413088944</v>
      </c>
      <c r="CV50" s="3">
        <f>AE50*AY50/0.674</f>
        <v>1.9086104308741061</v>
      </c>
      <c r="CW50" s="3">
        <f>AE50*AZ50/0.438</f>
        <v>1.4277054814916339</v>
      </c>
      <c r="CX50" s="3">
        <f>AE50*CF50/0.441</f>
        <v>1.2154227422610993</v>
      </c>
      <c r="DB50" s="23"/>
      <c r="DC50" s="23"/>
      <c r="DH50" s="4">
        <f>K50*38/M50/10000</f>
        <v>3.623768115942029</v>
      </c>
      <c r="DI50" s="50">
        <v>1057</v>
      </c>
      <c r="DJ50" s="50">
        <v>665</v>
      </c>
      <c r="DK50" s="4">
        <f t="shared" si="15"/>
        <v>2.4333333333333336</v>
      </c>
      <c r="DL50" s="1"/>
      <c r="DN50" s="4">
        <f t="shared" si="16"/>
        <v>11.796296296296298</v>
      </c>
      <c r="DO50" s="102">
        <f>1000*AX50/G50</f>
        <v>49977.214036153731</v>
      </c>
      <c r="DP50" s="102" t="e">
        <f>G50/F50</f>
        <v>#DIV/0!</v>
      </c>
      <c r="DQ50" s="4">
        <f>BM50/K50</f>
        <v>2.1337386018237083</v>
      </c>
    </row>
    <row r="51" spans="1:122" ht="15">
      <c r="A51" t="s">
        <v>218</v>
      </c>
      <c r="B51" t="s">
        <v>215</v>
      </c>
      <c r="C51">
        <v>65.5</v>
      </c>
      <c r="D51" s="55" t="s">
        <v>246</v>
      </c>
      <c r="E51" s="50">
        <v>766.5</v>
      </c>
      <c r="F51" s="50"/>
      <c r="G51" s="51">
        <v>1361</v>
      </c>
      <c r="H51" s="51">
        <v>848.55</v>
      </c>
      <c r="K51" s="80">
        <v>5800</v>
      </c>
      <c r="L51" s="3">
        <v>6.3066666666666658</v>
      </c>
      <c r="M51" s="52">
        <v>31.7</v>
      </c>
      <c r="N51">
        <f t="shared" si="24"/>
        <v>317000</v>
      </c>
      <c r="O51" s="52">
        <v>153</v>
      </c>
      <c r="P51">
        <f t="shared" si="25"/>
        <v>2071.8954248366013</v>
      </c>
      <c r="Q51" s="51">
        <v>10</v>
      </c>
      <c r="R51" s="52">
        <v>0.62</v>
      </c>
      <c r="S51" s="52">
        <v>2.92</v>
      </c>
      <c r="T51" s="52">
        <v>30.05</v>
      </c>
      <c r="U51" s="52" t="s">
        <v>159</v>
      </c>
      <c r="V51" s="52">
        <v>1.47</v>
      </c>
      <c r="W51" s="52">
        <v>0.23</v>
      </c>
      <c r="X51" s="52" t="s">
        <v>159</v>
      </c>
      <c r="Y51" s="52">
        <v>0.02</v>
      </c>
      <c r="Z51" s="52">
        <v>10.74</v>
      </c>
      <c r="AA51" s="52">
        <v>0.02</v>
      </c>
      <c r="AB51" s="51">
        <v>22.5</v>
      </c>
      <c r="AC51" s="51">
        <f t="shared" si="26"/>
        <v>46.070000000000007</v>
      </c>
      <c r="AD51" s="52">
        <v>91.94</v>
      </c>
      <c r="AE51" s="52">
        <f t="shared" si="27"/>
        <v>2.1706099413935314</v>
      </c>
      <c r="AF51" s="52">
        <f t="shared" si="28"/>
        <v>23.312350770566528</v>
      </c>
      <c r="AG51" s="52">
        <f t="shared" si="29"/>
        <v>4.3412198827870625E-2</v>
      </c>
      <c r="AH51" s="52">
        <f t="shared" si="30"/>
        <v>1.3457781636639894</v>
      </c>
      <c r="AI51" s="52">
        <f t="shared" si="31"/>
        <v>3.1907966138484909</v>
      </c>
      <c r="AJ51" s="52">
        <f t="shared" si="32"/>
        <v>0.49924028652051222</v>
      </c>
      <c r="AK51" s="52">
        <f t="shared" si="33"/>
        <v>65.226828738875625</v>
      </c>
      <c r="AL51" s="52">
        <f t="shared" si="34"/>
        <v>6.3381810288691112</v>
      </c>
      <c r="AM51" s="52" t="e">
        <f t="shared" si="35"/>
        <v>#VALUE!</v>
      </c>
      <c r="AN51" s="52" t="e">
        <f t="shared" si="36"/>
        <v>#VALUE!</v>
      </c>
      <c r="AO51" s="52">
        <f t="shared" si="37"/>
        <v>4.3412198827870625E-2</v>
      </c>
      <c r="AP51" s="50">
        <v>6</v>
      </c>
      <c r="AQ51" s="50" t="s">
        <v>205</v>
      </c>
      <c r="AR51" s="51">
        <v>5</v>
      </c>
      <c r="AS51" s="51">
        <v>2.8</v>
      </c>
      <c r="AT51" s="51">
        <v>4.9000000000000004</v>
      </c>
      <c r="AU51" s="51">
        <v>1959.1</v>
      </c>
      <c r="AV51" s="50">
        <v>17</v>
      </c>
      <c r="AW51" s="51">
        <v>0.2</v>
      </c>
      <c r="AX51" s="80">
        <v>5800</v>
      </c>
      <c r="AY51" s="52">
        <v>1.29</v>
      </c>
      <c r="AZ51" s="3">
        <v>0.56999999999999995</v>
      </c>
      <c r="BA51" s="52">
        <v>0.31</v>
      </c>
      <c r="BB51" s="51" t="s">
        <v>207</v>
      </c>
      <c r="BC51" s="52">
        <v>1.1000000000000001</v>
      </c>
      <c r="BD51" s="51" t="s">
        <v>206</v>
      </c>
      <c r="BE51" s="52">
        <v>0.34</v>
      </c>
      <c r="BG51" s="51">
        <v>1.7</v>
      </c>
      <c r="BI51" s="52">
        <v>0.09</v>
      </c>
      <c r="BJ51" s="51">
        <v>4.5999999999999996</v>
      </c>
      <c r="BK51" s="60">
        <v>0.3</v>
      </c>
      <c r="BL51" s="51">
        <v>2.5</v>
      </c>
      <c r="BM51" s="58">
        <v>200000</v>
      </c>
      <c r="BN51" s="51">
        <v>72.7</v>
      </c>
      <c r="BO51" s="52">
        <v>0.54</v>
      </c>
      <c r="BP51" s="51">
        <v>0.2</v>
      </c>
      <c r="BQ51" s="51">
        <v>6.3</v>
      </c>
      <c r="BR51" s="50" t="s">
        <v>205</v>
      </c>
      <c r="BS51" s="52">
        <v>0.79</v>
      </c>
      <c r="BT51" s="50" t="s">
        <v>205</v>
      </c>
      <c r="BU51" s="51">
        <v>17.600000000000001</v>
      </c>
      <c r="BV51" s="51" t="s">
        <v>206</v>
      </c>
      <c r="BW51" s="52">
        <v>0.21</v>
      </c>
      <c r="BX51" s="51"/>
      <c r="BY51" s="50">
        <f>10000*AA51*47.867/79.867</f>
        <v>119.8667785192883</v>
      </c>
      <c r="BZ51" s="53"/>
      <c r="CA51" s="52">
        <v>0.08</v>
      </c>
      <c r="CB51" s="51" t="s">
        <v>206</v>
      </c>
      <c r="CC51" s="50">
        <v>26</v>
      </c>
      <c r="CD51" s="51" t="s">
        <v>207</v>
      </c>
      <c r="CE51" s="51">
        <v>6.9</v>
      </c>
      <c r="CF51" s="52">
        <v>0.54</v>
      </c>
      <c r="CG51" s="50">
        <v>141</v>
      </c>
      <c r="CH51" s="51">
        <v>1.4</v>
      </c>
      <c r="CI51" s="53"/>
      <c r="CJ51" s="3">
        <f>AE51*AP51/6.6</f>
        <v>1.9732817649032106</v>
      </c>
      <c r="CK51" s="3"/>
      <c r="CL51" s="3">
        <f>AE51*BK51/0.658</f>
        <v>0.98963979090890475</v>
      </c>
      <c r="CM51" s="3">
        <f>AE51*BG51/0.648</f>
        <v>5.6945013894583374</v>
      </c>
      <c r="CN51" s="3">
        <f>AE51*AT51/1.675</f>
        <v>6.3498440076586888</v>
      </c>
      <c r="CO51" s="3">
        <f>AE51*BL51/1.25</f>
        <v>4.3412198827870627</v>
      </c>
      <c r="CP51" s="3">
        <f>AE51*BU51/19.9</f>
        <v>1.9197354255540784</v>
      </c>
      <c r="CQ51" s="3">
        <f>AE51*BS51/0.406</f>
        <v>4.2236006248790385</v>
      </c>
      <c r="CR51" s="3">
        <f>AE51*CH51/10.5</f>
        <v>0.28941465885247081</v>
      </c>
      <c r="CS51" s="3">
        <f>AE51*BY51/2000</f>
        <v>0.1300920105483919</v>
      </c>
      <c r="CT51" s="3">
        <f>AE51*BA51/0.154</f>
        <v>4.36940962228568</v>
      </c>
      <c r="CU51" s="3">
        <f>AE51*BC51/0.544</f>
        <v>4.3891009844354496</v>
      </c>
      <c r="CV51" s="3">
        <f>AE51*AY51/0.674</f>
        <v>4.1544314902042361</v>
      </c>
      <c r="CW51" s="3">
        <f>AE51*AZ51/0.438</f>
        <v>2.8247663620874723</v>
      </c>
      <c r="CX51" s="3">
        <f>AE51*CF51/0.441</f>
        <v>2.6578897241553445</v>
      </c>
      <c r="DB51" s="23"/>
      <c r="DC51" s="23"/>
      <c r="DH51" s="4">
        <f>K51*38/M51/10000</f>
        <v>0.69526813880126181</v>
      </c>
      <c r="DI51" s="50">
        <v>885</v>
      </c>
      <c r="DJ51" s="50">
        <v>1361</v>
      </c>
      <c r="DK51" s="4">
        <f t="shared" si="15"/>
        <v>2.0370370370370372</v>
      </c>
      <c r="DL51" s="1"/>
      <c r="DN51" s="4">
        <f t="shared" si="16"/>
        <v>2.1424897119341559</v>
      </c>
      <c r="DO51" s="102">
        <f>1000*AX51/G51</f>
        <v>4261.5723732549595</v>
      </c>
      <c r="DP51" s="102" t="e">
        <f>G51/F51</f>
        <v>#DIV/0!</v>
      </c>
      <c r="DQ51" s="4">
        <f>BM51/K51</f>
        <v>34.482758620689658</v>
      </c>
    </row>
    <row r="52" spans="1:122" s="36" customFormat="1" ht="15">
      <c r="A52" t="s">
        <v>241</v>
      </c>
      <c r="B52" t="s">
        <v>215</v>
      </c>
      <c r="C52" s="55">
        <v>65.599999999999994</v>
      </c>
      <c r="D52" s="55" t="s">
        <v>246</v>
      </c>
      <c r="E52" s="50">
        <v>165</v>
      </c>
      <c r="F52" s="50"/>
      <c r="G52" s="51">
        <v>310.2</v>
      </c>
      <c r="H52" s="51">
        <v>257.60000000000002</v>
      </c>
      <c r="I52"/>
      <c r="J52"/>
      <c r="K52" s="80">
        <v>7860.7</v>
      </c>
      <c r="L52" s="3">
        <v>5.6833333333333336</v>
      </c>
      <c r="M52" s="52">
        <v>1.96</v>
      </c>
      <c r="N52">
        <f t="shared" si="24"/>
        <v>19600</v>
      </c>
      <c r="O52" s="52">
        <v>8.5</v>
      </c>
      <c r="P52">
        <f t="shared" si="25"/>
        <v>2305.8823529411766</v>
      </c>
      <c r="Q52" s="51">
        <v>2.1</v>
      </c>
      <c r="R52" s="52">
        <v>13.8</v>
      </c>
      <c r="S52" s="52">
        <v>6.8</v>
      </c>
      <c r="T52" s="52">
        <v>24.16</v>
      </c>
      <c r="U52" s="52" t="s">
        <v>159</v>
      </c>
      <c r="V52" s="52">
        <v>10.83</v>
      </c>
      <c r="W52" s="52">
        <v>0.26</v>
      </c>
      <c r="X52" s="52">
        <v>0.03</v>
      </c>
      <c r="Y52" s="52">
        <v>0.05</v>
      </c>
      <c r="Z52" s="52">
        <v>32.590000000000003</v>
      </c>
      <c r="AA52" s="52">
        <v>0.77</v>
      </c>
      <c r="AB52" s="51">
        <v>8.6999999999999993</v>
      </c>
      <c r="AC52" s="51">
        <f>SUM(R52:AA52)</f>
        <v>89.29</v>
      </c>
      <c r="AD52" s="52">
        <v>98.83</v>
      </c>
      <c r="AE52" s="52">
        <f>100/AC52</f>
        <v>1.1199462425803561</v>
      </c>
      <c r="AF52" s="52">
        <f>Z52*AE52</f>
        <v>36.499048045693812</v>
      </c>
      <c r="AG52" s="52">
        <f>AE52*AA52</f>
        <v>0.86235860678687426</v>
      </c>
      <c r="AH52" s="52">
        <f>AE52*R52</f>
        <v>15.455258147608916</v>
      </c>
      <c r="AI52" s="52">
        <f>AE52*V52</f>
        <v>12.129017807145257</v>
      </c>
      <c r="AJ52" s="52">
        <f>AE52*W52</f>
        <v>0.29118602307089259</v>
      </c>
      <c r="AK52" s="52">
        <f>AE52*T52</f>
        <v>27.057901220741403</v>
      </c>
      <c r="AL52" s="52">
        <f>AE52*S52</f>
        <v>7.6156344495464214</v>
      </c>
      <c r="AM52" s="52">
        <f>AE52*X52</f>
        <v>3.3598387277410685E-2</v>
      </c>
      <c r="AN52" s="52" t="e">
        <f>AE52*U52</f>
        <v>#VALUE!</v>
      </c>
      <c r="AO52" s="52">
        <f>AE52*Y52</f>
        <v>5.5997312129017811E-2</v>
      </c>
      <c r="AP52" s="50">
        <v>9</v>
      </c>
      <c r="AQ52" s="50" t="s">
        <v>205</v>
      </c>
      <c r="AR52" s="51">
        <v>1.2</v>
      </c>
      <c r="AS52" s="51">
        <v>0.6</v>
      </c>
      <c r="AT52" s="51">
        <v>17.8</v>
      </c>
      <c r="AU52" s="51">
        <v>134</v>
      </c>
      <c r="AV52" s="50">
        <v>514</v>
      </c>
      <c r="AW52" s="51">
        <v>3.8</v>
      </c>
      <c r="AX52" s="80">
        <v>7860.7</v>
      </c>
      <c r="AY52" s="52">
        <v>2.57</v>
      </c>
      <c r="AZ52" s="3">
        <v>1.7</v>
      </c>
      <c r="BA52" s="52">
        <v>0.62</v>
      </c>
      <c r="BB52" s="51">
        <v>12</v>
      </c>
      <c r="BC52" s="52">
        <v>3.17</v>
      </c>
      <c r="BD52" s="51">
        <v>1.2</v>
      </c>
      <c r="BE52" s="52">
        <v>0.18</v>
      </c>
      <c r="BF52"/>
      <c r="BG52" s="51">
        <v>5.8</v>
      </c>
      <c r="BH52"/>
      <c r="BI52" s="65">
        <v>0.28000000000000003</v>
      </c>
      <c r="BJ52" s="51">
        <v>1</v>
      </c>
      <c r="BK52" s="71">
        <v>2.2000000000000002</v>
      </c>
      <c r="BL52" s="72">
        <v>10.1</v>
      </c>
      <c r="BM52" s="57">
        <v>6257</v>
      </c>
      <c r="BN52" s="51">
        <v>14.5</v>
      </c>
      <c r="BO52" s="52">
        <v>2</v>
      </c>
      <c r="BP52" s="51">
        <v>0.7</v>
      </c>
      <c r="BQ52" s="51">
        <v>0.2</v>
      </c>
      <c r="BR52" s="50">
        <v>35</v>
      </c>
      <c r="BS52" s="52">
        <v>1.94</v>
      </c>
      <c r="BT52" s="50" t="s">
        <v>205</v>
      </c>
      <c r="BU52" s="51">
        <v>77.400000000000006</v>
      </c>
      <c r="BV52" s="51">
        <v>0.2</v>
      </c>
      <c r="BW52" s="52">
        <v>0.53</v>
      </c>
      <c r="BX52" s="51">
        <v>0.9</v>
      </c>
      <c r="BY52" s="50">
        <f>10000*AA52*47.867/79.867</f>
        <v>4614.8709729925995</v>
      </c>
      <c r="BZ52" s="53"/>
      <c r="CA52" s="52">
        <v>0.26</v>
      </c>
      <c r="CB52" s="51">
        <v>0.2</v>
      </c>
      <c r="CC52" s="50">
        <v>241</v>
      </c>
      <c r="CD52" s="51" t="s">
        <v>207</v>
      </c>
      <c r="CE52" s="51">
        <v>15.8</v>
      </c>
      <c r="CF52" s="52">
        <v>1.42</v>
      </c>
      <c r="CG52" s="50">
        <v>272</v>
      </c>
      <c r="CH52" s="51">
        <v>44.1</v>
      </c>
      <c r="CI52" s="53"/>
      <c r="CJ52" s="3">
        <f>AE52*AP52/6.6</f>
        <v>1.5271994217004858</v>
      </c>
      <c r="CK52" s="3">
        <f>AE52*BX52/0.0795</f>
        <v>12.678636708456862</v>
      </c>
      <c r="CL52" s="3">
        <f>AE52*BK52/0.658</f>
        <v>3.7445011150103094</v>
      </c>
      <c r="CM52" s="3">
        <f>AE52*BG52/0.648</f>
        <v>10.024210195935286</v>
      </c>
      <c r="CN52" s="3">
        <f>AE52*AT52/1.675</f>
        <v>11.901518279361397</v>
      </c>
      <c r="CO52" s="3">
        <f>AE52*BL52/1.25</f>
        <v>9.0491656400492779</v>
      </c>
      <c r="CP52" s="3">
        <f>AE52*BU52/19.9</f>
        <v>4.3559718178753553</v>
      </c>
      <c r="CQ52" s="3">
        <f>AE52*BS52/0.406</f>
        <v>5.3514672675021933</v>
      </c>
      <c r="CR52" s="3">
        <f>AE52*CH52/10.5</f>
        <v>4.7037742188374958</v>
      </c>
      <c r="CS52" s="3">
        <f>AE52*BY52/2000</f>
        <v>2.5842037030981069</v>
      </c>
      <c r="CT52" s="3">
        <f>AE52*BA52/0.154</f>
        <v>4.5088744831157195</v>
      </c>
      <c r="CU52" s="3">
        <f>AE52*BC52/0.544</f>
        <v>6.5261573326833249</v>
      </c>
      <c r="CV52" s="3">
        <f>AE52*AY52/0.674</f>
        <v>4.2704181653286568</v>
      </c>
      <c r="CW52" s="3">
        <f>AE52*AZ52/0.438</f>
        <v>4.3468233159511538</v>
      </c>
      <c r="CX52" s="3">
        <f>AE52*CF52/0.441</f>
        <v>3.6061761098959311</v>
      </c>
      <c r="DB52" s="23">
        <f t="shared" si="22"/>
        <v>0.29533941236068895</v>
      </c>
      <c r="DC52" s="23">
        <f t="shared" si="23"/>
        <v>3.515811852245549</v>
      </c>
      <c r="DH52" s="4">
        <f>K52*38/M52/10000</f>
        <v>15.240132653061226</v>
      </c>
      <c r="DI52" s="48" t="s">
        <v>213</v>
      </c>
      <c r="DJ52" s="48" t="s">
        <v>213</v>
      </c>
      <c r="DK52" s="4">
        <f t="shared" si="15"/>
        <v>2.232394366197183</v>
      </c>
      <c r="DL52" s="1">
        <v>1611.7647058823532</v>
      </c>
      <c r="DN52" s="4">
        <f t="shared" si="16"/>
        <v>2.7797339593114243</v>
      </c>
      <c r="DO52" s="102">
        <f>1000*AX52/G52</f>
        <v>25340.747904577693</v>
      </c>
      <c r="DP52" s="102" t="e">
        <f>G52/F52</f>
        <v>#DIV/0!</v>
      </c>
      <c r="DQ52" s="4">
        <f>BM52/K52</f>
        <v>0.79598509038635235</v>
      </c>
      <c r="DR52"/>
    </row>
    <row r="53" spans="1:122" ht="15">
      <c r="A53" t="s">
        <v>219</v>
      </c>
      <c r="B53" t="s">
        <v>215</v>
      </c>
      <c r="C53">
        <v>74.5</v>
      </c>
      <c r="D53" s="55" t="s">
        <v>246</v>
      </c>
      <c r="E53" s="50">
        <v>37</v>
      </c>
      <c r="F53" s="50"/>
      <c r="G53" s="51">
        <v>188.5</v>
      </c>
      <c r="H53" s="51">
        <v>103.1</v>
      </c>
      <c r="K53" s="80">
        <v>4500</v>
      </c>
      <c r="L53" s="3">
        <v>0.54999999999999993</v>
      </c>
      <c r="M53" s="52">
        <v>3.26</v>
      </c>
      <c r="N53">
        <f t="shared" si="24"/>
        <v>32599.999999999996</v>
      </c>
      <c r="O53" s="52">
        <v>7.9</v>
      </c>
      <c r="P53" s="86">
        <f t="shared" si="25"/>
        <v>4126.5822784810116</v>
      </c>
      <c r="Q53" s="51">
        <v>1</v>
      </c>
      <c r="R53" s="52">
        <v>13.07</v>
      </c>
      <c r="S53" s="52">
        <v>0.6</v>
      </c>
      <c r="T53" s="52">
        <v>31.22</v>
      </c>
      <c r="U53" s="52">
        <v>0.04</v>
      </c>
      <c r="V53" s="52">
        <v>7.42</v>
      </c>
      <c r="W53" s="52">
        <v>0.16</v>
      </c>
      <c r="X53" s="52">
        <v>0.02</v>
      </c>
      <c r="Y53" s="52">
        <v>0.03</v>
      </c>
      <c r="Z53" s="52">
        <v>35.93</v>
      </c>
      <c r="AA53" s="52">
        <v>0.73</v>
      </c>
      <c r="AB53" s="51">
        <v>8.1999999999999993</v>
      </c>
      <c r="AC53" s="51">
        <f t="shared" si="26"/>
        <v>89.220000000000013</v>
      </c>
      <c r="AD53" s="52">
        <v>99.27</v>
      </c>
      <c r="AE53" s="52">
        <f t="shared" si="27"/>
        <v>1.1208249271463795</v>
      </c>
      <c r="AF53" s="52">
        <f t="shared" si="28"/>
        <v>40.271239632369415</v>
      </c>
      <c r="AG53" s="52">
        <f t="shared" si="29"/>
        <v>0.81820219681685702</v>
      </c>
      <c r="AH53" s="52">
        <f t="shared" si="30"/>
        <v>14.64918179780318</v>
      </c>
      <c r="AI53" s="52">
        <f t="shared" si="31"/>
        <v>8.3165209594261356</v>
      </c>
      <c r="AJ53" s="52">
        <f t="shared" si="32"/>
        <v>0.17933198834342073</v>
      </c>
      <c r="AK53" s="52">
        <f t="shared" si="33"/>
        <v>34.992154225509964</v>
      </c>
      <c r="AL53" s="52">
        <f t="shared" si="34"/>
        <v>0.67249495628782763</v>
      </c>
      <c r="AM53" s="52">
        <f t="shared" si="35"/>
        <v>2.2416498542927592E-2</v>
      </c>
      <c r="AN53" s="52">
        <f t="shared" si="36"/>
        <v>4.4832997085855184E-2</v>
      </c>
      <c r="AO53" s="52">
        <f t="shared" si="37"/>
        <v>3.3624747814391384E-2</v>
      </c>
      <c r="AP53" s="50">
        <v>23</v>
      </c>
      <c r="AQ53" s="50">
        <v>1</v>
      </c>
      <c r="AR53" s="51">
        <v>0.5</v>
      </c>
      <c r="AS53" s="51">
        <v>0.4</v>
      </c>
      <c r="AT53" s="51">
        <v>20.9</v>
      </c>
      <c r="AU53" s="51">
        <v>94.8</v>
      </c>
      <c r="AV53" s="50">
        <v>455</v>
      </c>
      <c r="AW53" s="51">
        <v>12</v>
      </c>
      <c r="AX53" s="80">
        <v>4500</v>
      </c>
      <c r="AY53" s="52">
        <v>1.93</v>
      </c>
      <c r="AZ53" s="3">
        <v>1.04</v>
      </c>
      <c r="BA53" s="52">
        <v>0.5</v>
      </c>
      <c r="BB53" s="51">
        <v>15.1</v>
      </c>
      <c r="BC53" s="52">
        <v>2.58</v>
      </c>
      <c r="BD53" s="51">
        <v>1.3</v>
      </c>
      <c r="BE53" s="52">
        <v>0.13</v>
      </c>
      <c r="BG53" s="51">
        <v>3</v>
      </c>
      <c r="BI53" s="52">
        <v>0.11</v>
      </c>
      <c r="BJ53" s="51">
        <v>0.6</v>
      </c>
      <c r="BK53" s="60">
        <v>2.9</v>
      </c>
      <c r="BL53" s="51">
        <v>11.6</v>
      </c>
      <c r="BM53" s="50">
        <v>16700</v>
      </c>
      <c r="BN53" s="51">
        <v>6.5</v>
      </c>
      <c r="BO53" s="52">
        <v>2.63</v>
      </c>
      <c r="BP53" s="51">
        <v>2.2000000000000002</v>
      </c>
      <c r="BQ53" s="51">
        <v>0.3</v>
      </c>
      <c r="BR53" s="50">
        <v>31</v>
      </c>
      <c r="BS53" s="52">
        <v>2.16</v>
      </c>
      <c r="BT53" s="50">
        <v>1</v>
      </c>
      <c r="BU53" s="51">
        <v>10.7</v>
      </c>
      <c r="BV53" s="51">
        <v>0.3</v>
      </c>
      <c r="BW53" s="52">
        <v>0.4</v>
      </c>
      <c r="BX53" s="51">
        <v>0.9</v>
      </c>
      <c r="BY53" s="50">
        <f>10000*AA53*47.867/79.867</f>
        <v>4375.1374159540228</v>
      </c>
      <c r="BZ53" s="53"/>
      <c r="CA53" s="52">
        <v>0.14000000000000001</v>
      </c>
      <c r="CB53" s="51">
        <v>0.5</v>
      </c>
      <c r="CC53" s="50">
        <v>232</v>
      </c>
      <c r="CD53" s="51">
        <v>0.6</v>
      </c>
      <c r="CE53" s="51">
        <v>12</v>
      </c>
      <c r="CF53" s="52">
        <v>0.75</v>
      </c>
      <c r="CG53" s="50">
        <v>280</v>
      </c>
      <c r="CH53" s="51">
        <v>46.4</v>
      </c>
      <c r="CI53" s="53"/>
      <c r="CJ53" s="3">
        <f>AE53*AP53/6.6</f>
        <v>3.9059050491464742</v>
      </c>
      <c r="CK53" s="3">
        <f>AE53*BX53/0.0795</f>
        <v>12.688584080902409</v>
      </c>
      <c r="CL53" s="3">
        <f>AE53*BK53/0.658</f>
        <v>4.9398059099156537</v>
      </c>
      <c r="CM53" s="3">
        <f>AE53*BG53/0.648</f>
        <v>5.1890042923443493</v>
      </c>
      <c r="CN53" s="3">
        <f>AE53*AT53/1.675</f>
        <v>13.985218493945869</v>
      </c>
      <c r="CO53" s="3">
        <f>AE53*BL53/1.25</f>
        <v>10.401255323918402</v>
      </c>
      <c r="CP53" s="3">
        <f>AE53*BU53/19.9</f>
        <v>0.60265460906865631</v>
      </c>
      <c r="CQ53" s="3">
        <f>AE53*BS53/0.406</f>
        <v>5.9630094646211322</v>
      </c>
      <c r="CR53" s="3">
        <f>AE53*CH53/10.5</f>
        <v>4.952978725675429</v>
      </c>
      <c r="CS53" s="3">
        <f>AE53*BY53/2000</f>
        <v>2.4518815377460332</v>
      </c>
      <c r="CT53" s="3">
        <f>AE53*BA53/0.154</f>
        <v>3.6390419712544788</v>
      </c>
      <c r="CU53" s="3">
        <f>AE53*BC53/0.544</f>
        <v>5.3156770441868737</v>
      </c>
      <c r="CV53" s="3">
        <f>AE53*AY53/0.674</f>
        <v>3.2094838418286531</v>
      </c>
      <c r="CW53" s="3">
        <f>AE53*AZ53/0.438</f>
        <v>2.6613194617174307</v>
      </c>
      <c r="CX53" s="3">
        <f>AE53*CF53/0.441</f>
        <v>1.9061648420856794</v>
      </c>
      <c r="DB53" s="23">
        <f t="shared" si="22"/>
        <v>0.3893110435663627</v>
      </c>
      <c r="DC53" s="23">
        <f t="shared" si="23"/>
        <v>6.6566037735849051</v>
      </c>
      <c r="DH53" s="4">
        <f>K53*38/M53/10000</f>
        <v>5.2453987730061353</v>
      </c>
      <c r="DI53" s="48" t="s">
        <v>213</v>
      </c>
      <c r="DJ53" s="48" t="s">
        <v>213</v>
      </c>
      <c r="DK53" s="4">
        <f t="shared" si="15"/>
        <v>3.44</v>
      </c>
      <c r="DL53" s="1">
        <v>3265.8227848101264</v>
      </c>
      <c r="DN53" s="4">
        <f t="shared" si="16"/>
        <v>2.7222222222222223</v>
      </c>
      <c r="DO53" s="102">
        <f>1000*AX53/G53</f>
        <v>23872.679045092838</v>
      </c>
      <c r="DP53" s="102" t="e">
        <f>G53/F53</f>
        <v>#DIV/0!</v>
      </c>
      <c r="DQ53" s="4">
        <f>BM53/K53</f>
        <v>3.7111111111111112</v>
      </c>
    </row>
    <row r="54" spans="1:122" ht="15">
      <c r="A54" t="s">
        <v>220</v>
      </c>
      <c r="B54" t="s">
        <v>215</v>
      </c>
      <c r="C54">
        <v>74.599999999999994</v>
      </c>
      <c r="D54" s="55" t="s">
        <v>246</v>
      </c>
      <c r="E54" s="50">
        <v>238</v>
      </c>
      <c r="F54" s="50"/>
      <c r="G54" s="51">
        <v>482.9</v>
      </c>
      <c r="H54" s="51">
        <v>556.20000000000005</v>
      </c>
      <c r="K54" s="80">
        <v>58700</v>
      </c>
      <c r="L54" s="3">
        <v>5.9033333333333333</v>
      </c>
      <c r="M54" s="52">
        <v>35.5</v>
      </c>
      <c r="N54">
        <f t="shared" si="24"/>
        <v>355000</v>
      </c>
      <c r="O54" s="52">
        <v>183</v>
      </c>
      <c r="P54">
        <f t="shared" si="25"/>
        <v>1939.8907103825136</v>
      </c>
      <c r="Q54" s="51">
        <v>7</v>
      </c>
      <c r="R54" s="52">
        <v>0.18</v>
      </c>
      <c r="S54" s="52">
        <v>4.26</v>
      </c>
      <c r="T54" s="52">
        <v>42.64</v>
      </c>
      <c r="U54" s="52" t="s">
        <v>159</v>
      </c>
      <c r="V54" s="52">
        <v>0.23</v>
      </c>
      <c r="W54" s="52">
        <v>0.22</v>
      </c>
      <c r="X54" s="52" t="s">
        <v>159</v>
      </c>
      <c r="Y54" s="52">
        <v>0.02</v>
      </c>
      <c r="Z54" s="52">
        <v>0.83</v>
      </c>
      <c r="AA54" s="52">
        <v>0.01</v>
      </c>
      <c r="AB54" s="51">
        <v>21.9</v>
      </c>
      <c r="AC54" s="51">
        <f t="shared" si="26"/>
        <v>48.389999999999993</v>
      </c>
      <c r="AD54" s="52">
        <v>81.75</v>
      </c>
      <c r="AE54" s="52">
        <f t="shared" si="27"/>
        <v>2.0665426741062207</v>
      </c>
      <c r="AF54" s="52">
        <f t="shared" si="28"/>
        <v>1.7152304195081631</v>
      </c>
      <c r="AG54" s="52">
        <f t="shared" si="29"/>
        <v>2.0665426741062209E-2</v>
      </c>
      <c r="AH54" s="52">
        <f t="shared" si="30"/>
        <v>0.37197768133911974</v>
      </c>
      <c r="AI54" s="52">
        <f t="shared" si="31"/>
        <v>0.47530481504443078</v>
      </c>
      <c r="AJ54" s="52">
        <f t="shared" si="32"/>
        <v>0.45463938830336859</v>
      </c>
      <c r="AK54" s="52">
        <f t="shared" si="33"/>
        <v>88.117379623889249</v>
      </c>
      <c r="AL54" s="52">
        <f t="shared" si="34"/>
        <v>8.8034717916925</v>
      </c>
      <c r="AM54" s="52" t="e">
        <f t="shared" si="35"/>
        <v>#VALUE!</v>
      </c>
      <c r="AN54" s="52" t="e">
        <f t="shared" si="36"/>
        <v>#VALUE!</v>
      </c>
      <c r="AO54" s="52">
        <f t="shared" si="37"/>
        <v>4.1330853482124418E-2</v>
      </c>
      <c r="AP54" s="50">
        <v>3</v>
      </c>
      <c r="AQ54" s="50" t="s">
        <v>205</v>
      </c>
      <c r="AR54" s="51">
        <v>1.6</v>
      </c>
      <c r="AS54" s="51">
        <v>3.5</v>
      </c>
      <c r="AT54" s="51">
        <v>8.8000000000000007</v>
      </c>
      <c r="AU54" s="51">
        <v>1843.1</v>
      </c>
      <c r="AV54" s="50">
        <v>35</v>
      </c>
      <c r="AW54" s="51">
        <v>0.2</v>
      </c>
      <c r="AX54" s="80">
        <v>58700</v>
      </c>
      <c r="AY54" s="52">
        <v>0.8</v>
      </c>
      <c r="AZ54" s="3">
        <v>0.33</v>
      </c>
      <c r="BA54" s="52">
        <v>0.25</v>
      </c>
      <c r="BB54" s="51" t="s">
        <v>207</v>
      </c>
      <c r="BC54" s="52">
        <v>0.98</v>
      </c>
      <c r="BD54" s="51" t="s">
        <v>206</v>
      </c>
      <c r="BE54" s="52">
        <v>0.54</v>
      </c>
      <c r="BG54" s="51">
        <v>12</v>
      </c>
      <c r="BI54" s="52">
        <v>0.05</v>
      </c>
      <c r="BJ54" s="51">
        <v>1.2</v>
      </c>
      <c r="BK54" s="60"/>
      <c r="BL54" s="51">
        <v>3.8</v>
      </c>
      <c r="BM54" s="50">
        <v>141100</v>
      </c>
      <c r="BN54" s="51">
        <v>43.5</v>
      </c>
      <c r="BO54" s="52">
        <v>0.95</v>
      </c>
      <c r="BP54" s="51">
        <v>0.1</v>
      </c>
      <c r="BQ54" s="51">
        <v>2.9</v>
      </c>
      <c r="BR54" s="50">
        <v>1</v>
      </c>
      <c r="BS54" s="52">
        <v>1.04</v>
      </c>
      <c r="BT54" s="50">
        <v>1</v>
      </c>
      <c r="BU54" s="51">
        <v>36.5</v>
      </c>
      <c r="BV54" s="51" t="s">
        <v>206</v>
      </c>
      <c r="BW54" s="52">
        <v>0.14000000000000001</v>
      </c>
      <c r="BX54" s="51"/>
      <c r="BY54" s="50">
        <f>10000*AA54*47.867/79.867</f>
        <v>59.933389259644152</v>
      </c>
      <c r="BZ54" s="53"/>
      <c r="CA54" s="52">
        <v>0.04</v>
      </c>
      <c r="CB54" s="51" t="s">
        <v>206</v>
      </c>
      <c r="CC54" s="50">
        <v>30</v>
      </c>
      <c r="CD54" s="51" t="s">
        <v>207</v>
      </c>
      <c r="CE54" s="51">
        <v>4.5999999999999996</v>
      </c>
      <c r="CF54" s="52">
        <v>0.34</v>
      </c>
      <c r="CG54" s="50">
        <v>195</v>
      </c>
      <c r="CH54" s="51">
        <v>0.7</v>
      </c>
      <c r="CI54" s="53"/>
      <c r="CJ54" s="3">
        <f>AE54*AP54/6.6</f>
        <v>0.93933757913919125</v>
      </c>
      <c r="CK54" s="3"/>
      <c r="CL54" s="3"/>
      <c r="CM54" s="3">
        <f>AE54*BG54/0.648</f>
        <v>38.269308779744826</v>
      </c>
      <c r="CN54" s="3">
        <f>AE54*AT54/1.675</f>
        <v>10.857060019184923</v>
      </c>
      <c r="CO54" s="3">
        <f>AE54*BL54/1.25</f>
        <v>6.2822897292829101</v>
      </c>
      <c r="CP54" s="3">
        <f>AE54*BU54/19.9</f>
        <v>3.7903923419536207</v>
      </c>
      <c r="CQ54" s="3">
        <f>AE54*BS54/0.406</f>
        <v>5.2936068499272642</v>
      </c>
      <c r="CR54" s="3">
        <f>AE54*CH54/10.5</f>
        <v>0.13776951160708137</v>
      </c>
      <c r="CS54" s="3">
        <f>AE54*BY54/2000</f>
        <v>6.1927453254437034E-2</v>
      </c>
      <c r="CT54" s="3">
        <f>AE54*BA54/0.154</f>
        <v>3.3547770683542546</v>
      </c>
      <c r="CU54" s="3">
        <f>AE54*BC54/0.544</f>
        <v>3.7228158467354708</v>
      </c>
      <c r="CV54" s="3">
        <f>AE54*AY54/0.674</f>
        <v>2.4528696428560486</v>
      </c>
      <c r="CW54" s="3">
        <f>AE54*AZ54/0.438</f>
        <v>1.5569842065183856</v>
      </c>
      <c r="CX54" s="3">
        <f>AE54*CF54/0.441</f>
        <v>1.5932528553199887</v>
      </c>
      <c r="DB54" s="23"/>
      <c r="DC54" s="23"/>
      <c r="DH54" s="4">
        <f>K54*38/M54/10000</f>
        <v>6.2833802816901407</v>
      </c>
      <c r="DI54" s="48" t="s">
        <v>213</v>
      </c>
      <c r="DJ54" s="48" t="s">
        <v>213</v>
      </c>
      <c r="DK54" s="4">
        <f t="shared" si="15"/>
        <v>2.8823529411764701</v>
      </c>
      <c r="DL54" s="1"/>
      <c r="DN54" s="4">
        <f t="shared" si="16"/>
        <v>24.019607843137255</v>
      </c>
      <c r="DO54" s="102">
        <f>1000*AX54/G54</f>
        <v>121557.25823151792</v>
      </c>
      <c r="DP54" s="102" t="e">
        <f>G54/F54</f>
        <v>#DIV/0!</v>
      </c>
      <c r="DQ54" s="4">
        <f>BM54/K54</f>
        <v>2.4037478705281092</v>
      </c>
    </row>
    <row r="55" spans="1:122" ht="15">
      <c r="A55" t="s">
        <v>221</v>
      </c>
      <c r="B55" t="s">
        <v>215</v>
      </c>
      <c r="C55">
        <v>75</v>
      </c>
      <c r="D55" s="55" t="s">
        <v>246</v>
      </c>
      <c r="E55" s="50">
        <v>50</v>
      </c>
      <c r="F55" s="50"/>
      <c r="G55" s="51">
        <v>230.4</v>
      </c>
      <c r="H55" s="51">
        <v>167.1</v>
      </c>
      <c r="K55" s="80">
        <v>5900</v>
      </c>
      <c r="L55" s="3">
        <v>2.7866666666666666</v>
      </c>
      <c r="M55" s="52">
        <v>2.94</v>
      </c>
      <c r="N55">
        <f t="shared" si="24"/>
        <v>29400</v>
      </c>
      <c r="O55" s="52">
        <v>12.2</v>
      </c>
      <c r="P55">
        <f t="shared" si="25"/>
        <v>2409.8360655737706</v>
      </c>
      <c r="Q55" s="51">
        <v>1.3</v>
      </c>
      <c r="R55" s="52">
        <v>13.85</v>
      </c>
      <c r="S55" s="52">
        <v>3.12</v>
      </c>
      <c r="T55" s="52">
        <v>28.19</v>
      </c>
      <c r="U55" s="52">
        <v>0.02</v>
      </c>
      <c r="V55" s="52">
        <v>8.94</v>
      </c>
      <c r="W55" s="52">
        <v>0.23</v>
      </c>
      <c r="X55" s="52">
        <v>0.02</v>
      </c>
      <c r="Y55" s="52">
        <v>0.04</v>
      </c>
      <c r="Z55" s="52">
        <v>31.86</v>
      </c>
      <c r="AA55" s="52">
        <v>0.74</v>
      </c>
      <c r="AB55" s="51">
        <v>8.1</v>
      </c>
      <c r="AC55" s="51">
        <f t="shared" si="26"/>
        <v>87.009999999999991</v>
      </c>
      <c r="AD55" s="52">
        <v>97.63</v>
      </c>
      <c r="AE55" s="52">
        <f t="shared" si="27"/>
        <v>1.1492931846914149</v>
      </c>
      <c r="AF55" s="52">
        <f t="shared" si="28"/>
        <v>36.616480864268482</v>
      </c>
      <c r="AG55" s="52">
        <f t="shared" si="29"/>
        <v>0.85047695667164702</v>
      </c>
      <c r="AH55" s="52">
        <f t="shared" si="30"/>
        <v>15.917710607976097</v>
      </c>
      <c r="AI55" s="52">
        <f t="shared" si="31"/>
        <v>10.274681071141249</v>
      </c>
      <c r="AJ55" s="52">
        <f t="shared" si="32"/>
        <v>0.26433743247902547</v>
      </c>
      <c r="AK55" s="52">
        <f t="shared" si="33"/>
        <v>32.398574876450986</v>
      </c>
      <c r="AL55" s="52">
        <f t="shared" si="34"/>
        <v>3.5857947362372147</v>
      </c>
      <c r="AM55" s="52">
        <f t="shared" si="35"/>
        <v>2.2985863693828299E-2</v>
      </c>
      <c r="AN55" s="52">
        <f t="shared" si="36"/>
        <v>2.2985863693828299E-2</v>
      </c>
      <c r="AO55" s="52">
        <f t="shared" si="37"/>
        <v>4.5971727387656598E-2</v>
      </c>
      <c r="AP55" s="50">
        <v>14</v>
      </c>
      <c r="AQ55" s="50">
        <v>2</v>
      </c>
      <c r="AR55" s="51">
        <v>0.8</v>
      </c>
      <c r="AS55" s="51">
        <v>56.1</v>
      </c>
      <c r="AT55" s="51">
        <v>19.100000000000001</v>
      </c>
      <c r="AU55" s="51">
        <v>147.5</v>
      </c>
      <c r="AV55" s="50">
        <v>683</v>
      </c>
      <c r="AW55" s="51">
        <v>7.2</v>
      </c>
      <c r="AX55" s="80">
        <v>5900</v>
      </c>
      <c r="AY55" s="52">
        <v>3.13</v>
      </c>
      <c r="AZ55" s="3">
        <v>1.65</v>
      </c>
      <c r="BA55" s="52">
        <v>0.77</v>
      </c>
      <c r="BB55" s="51">
        <v>15.9</v>
      </c>
      <c r="BC55" s="52">
        <v>3.08</v>
      </c>
      <c r="BD55" s="51">
        <v>1</v>
      </c>
      <c r="BE55" s="52">
        <v>0.75</v>
      </c>
      <c r="BG55" s="51">
        <v>4.5</v>
      </c>
      <c r="BI55" s="52">
        <v>0.17</v>
      </c>
      <c r="BJ55" s="51">
        <v>0.8</v>
      </c>
      <c r="BK55" s="60">
        <v>2.6</v>
      </c>
      <c r="BL55" s="51">
        <v>10.199999999999999</v>
      </c>
      <c r="BM55" s="50">
        <v>22799.999999999996</v>
      </c>
      <c r="BN55" s="51">
        <v>964.4</v>
      </c>
      <c r="BO55" s="52">
        <v>2.46</v>
      </c>
      <c r="BP55" s="51">
        <v>1.6</v>
      </c>
      <c r="BQ55" s="51">
        <v>0.1</v>
      </c>
      <c r="BR55" s="50">
        <v>35</v>
      </c>
      <c r="BS55" s="52">
        <v>2.79</v>
      </c>
      <c r="BT55" s="50">
        <v>1</v>
      </c>
      <c r="BU55" s="51">
        <v>38.1</v>
      </c>
      <c r="BV55" s="51">
        <v>0.1</v>
      </c>
      <c r="BW55" s="52">
        <v>0.51</v>
      </c>
      <c r="BX55" s="51">
        <v>0.7</v>
      </c>
      <c r="BY55" s="50">
        <f>10000*AA55*47.867/79.867</f>
        <v>4435.070805213667</v>
      </c>
      <c r="BZ55" s="53"/>
      <c r="CA55" s="52">
        <v>0.19</v>
      </c>
      <c r="CB55" s="51">
        <v>0.2</v>
      </c>
      <c r="CC55" s="50">
        <v>242</v>
      </c>
      <c r="CD55" s="51" t="s">
        <v>207</v>
      </c>
      <c r="CE55" s="51">
        <v>15.4</v>
      </c>
      <c r="CF55" s="52">
        <v>1.04</v>
      </c>
      <c r="CG55" s="50" t="s">
        <v>204</v>
      </c>
      <c r="CH55" s="51">
        <v>47.3</v>
      </c>
      <c r="CI55" s="53"/>
      <c r="CJ55" s="3">
        <f>AE55*AP55/6.6</f>
        <v>2.4378946341939107</v>
      </c>
      <c r="CK55" s="3">
        <f>AE55*BX55/0.0795</f>
        <v>10.119562632503023</v>
      </c>
      <c r="CL55" s="3">
        <f>AE55*BK55/0.658</f>
        <v>4.5412800610906974</v>
      </c>
      <c r="CM55" s="3">
        <f>AE55*BG55/0.648</f>
        <v>7.981202671468159</v>
      </c>
      <c r="CN55" s="3">
        <f>AE55*AT55/1.675</f>
        <v>13.105373031406584</v>
      </c>
      <c r="CO55" s="3">
        <f>AE55*BL55/1.25</f>
        <v>9.3782323870819457</v>
      </c>
      <c r="CP55" s="3">
        <f>AE55*BU55/19.9</f>
        <v>2.2004055445599455</v>
      </c>
      <c r="CQ55" s="3">
        <f>AE55*BS55/0.406</f>
        <v>7.8978521805148949</v>
      </c>
      <c r="CR55" s="3">
        <f>AE55*CH55/10.5</f>
        <v>5.1772921558003739</v>
      </c>
      <c r="CS55" s="3">
        <f>AE55*BY55/2000</f>
        <v>2.5485983250279669</v>
      </c>
      <c r="CT55" s="3">
        <f>AE55*BA55/0.154</f>
        <v>5.746465923457075</v>
      </c>
      <c r="CU55" s="3">
        <f>AE55*BC55/0.544</f>
        <v>6.5070275897969818</v>
      </c>
      <c r="CV55" s="3">
        <f>AE55*AY55/0.674</f>
        <v>5.3372220594720003</v>
      </c>
      <c r="CW55" s="3">
        <f>AE55*AZ55/0.438</f>
        <v>4.3295291204128645</v>
      </c>
      <c r="CX55" s="3">
        <f>AE55*CF55/0.441</f>
        <v>2.7103512745557174</v>
      </c>
      <c r="DB55" s="23">
        <f t="shared" si="22"/>
        <v>0.44876248371689109</v>
      </c>
      <c r="DC55" s="23">
        <f t="shared" si="23"/>
        <v>3.7336719883889691</v>
      </c>
      <c r="DH55" s="4">
        <f>K55*38/M55/10000</f>
        <v>7.6258503401360551</v>
      </c>
      <c r="DI55" s="48" t="s">
        <v>213</v>
      </c>
      <c r="DJ55" s="48" t="s">
        <v>213</v>
      </c>
      <c r="DK55" s="4">
        <f t="shared" si="15"/>
        <v>2.9615384615384617</v>
      </c>
      <c r="DL55" s="1">
        <v>2114.7540983606559</v>
      </c>
      <c r="DN55" s="4">
        <f t="shared" si="16"/>
        <v>2.9447115384615388</v>
      </c>
      <c r="DO55" s="102">
        <f>1000*AX55/G55</f>
        <v>25607.638888888887</v>
      </c>
      <c r="DP55" s="102" t="e">
        <f>G55/F55</f>
        <v>#DIV/0!</v>
      </c>
      <c r="DQ55" s="4">
        <f>BM55/K55</f>
        <v>3.8644067796610164</v>
      </c>
    </row>
    <row r="56" spans="1:122">
      <c r="E56" s="50"/>
      <c r="F56" s="50"/>
      <c r="G56" s="51"/>
      <c r="H56" s="51"/>
      <c r="K56" s="50"/>
      <c r="L56" s="3"/>
      <c r="M56" s="52"/>
      <c r="O56" s="52"/>
      <c r="P56"/>
      <c r="Q56" s="51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1"/>
      <c r="AC56" s="51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0"/>
      <c r="AQ56" s="50"/>
      <c r="AR56" s="51"/>
      <c r="AS56" s="51"/>
      <c r="AT56" s="51"/>
      <c r="AU56" s="51"/>
      <c r="AV56" s="50"/>
      <c r="AW56" s="51"/>
      <c r="AX56" s="50"/>
      <c r="AY56" s="52"/>
      <c r="AZ56" s="3"/>
      <c r="BA56" s="52"/>
      <c r="BB56" s="51"/>
      <c r="BC56" s="52"/>
      <c r="BD56" s="51"/>
      <c r="BE56" s="52"/>
      <c r="BG56" s="51"/>
      <c r="BI56" s="52"/>
      <c r="BJ56" s="51"/>
      <c r="BK56" s="60"/>
      <c r="BL56" s="51"/>
      <c r="BM56" s="50"/>
      <c r="BN56" s="51"/>
      <c r="BO56" s="52"/>
      <c r="BP56" s="51"/>
      <c r="BQ56" s="51"/>
      <c r="BR56" s="50"/>
      <c r="BS56" s="52"/>
      <c r="BT56" s="50"/>
      <c r="BU56" s="51"/>
      <c r="BV56" s="51"/>
      <c r="BW56" s="52"/>
      <c r="BX56" s="51"/>
      <c r="BY56" s="50"/>
      <c r="BZ56" s="53"/>
      <c r="CA56" s="52"/>
      <c r="CB56" s="51"/>
      <c r="CC56" s="50"/>
      <c r="CD56" s="51"/>
      <c r="CE56" s="51"/>
      <c r="CF56" s="52"/>
      <c r="CG56" s="50"/>
      <c r="CH56" s="51"/>
      <c r="CI56" s="53"/>
      <c r="CJ56" s="3"/>
      <c r="CK56" s="3"/>
      <c r="CL56" s="3"/>
      <c r="CM56" s="3"/>
      <c r="CN56" s="3"/>
      <c r="CO56" s="3"/>
      <c r="CP56" s="3"/>
      <c r="CQ56" s="3"/>
      <c r="CR56" s="3">
        <f>AE56*CH56/10.5</f>
        <v>0</v>
      </c>
      <c r="CS56" s="3"/>
      <c r="CT56" s="3"/>
      <c r="CU56" s="3"/>
      <c r="CV56" s="3"/>
      <c r="CW56" s="3"/>
      <c r="CX56" s="3"/>
      <c r="DB56" s="23"/>
      <c r="DC56" s="23"/>
      <c r="DH56" s="4"/>
      <c r="DI56" s="48"/>
      <c r="DJ56" s="48"/>
      <c r="DK56" s="4" t="e">
        <f t="shared" si="15"/>
        <v>#DIV/0!</v>
      </c>
      <c r="DL56" s="1"/>
      <c r="DN56" s="4" t="e">
        <f t="shared" si="16"/>
        <v>#DIV/0!</v>
      </c>
      <c r="DO56" s="102" t="e">
        <f>1000*AX56/G56</f>
        <v>#DIV/0!</v>
      </c>
      <c r="DP56" s="102" t="e">
        <f>G56/F56</f>
        <v>#DIV/0!</v>
      </c>
      <c r="DQ56" s="4" t="e">
        <f>BM56/K56</f>
        <v>#DIV/0!</v>
      </c>
    </row>
    <row r="57" spans="1:122">
      <c r="A57" t="s">
        <v>228</v>
      </c>
      <c r="B57" t="s">
        <v>229</v>
      </c>
      <c r="C57">
        <v>139.55000000000001</v>
      </c>
      <c r="E57" s="50">
        <v>319</v>
      </c>
      <c r="F57" s="50"/>
      <c r="G57" s="51">
        <v>541.20000000000005</v>
      </c>
      <c r="H57" s="51">
        <v>343.6</v>
      </c>
      <c r="K57" s="80">
        <v>15200</v>
      </c>
      <c r="L57" s="3">
        <v>5.2066666666666661</v>
      </c>
      <c r="M57" s="52">
        <v>8.36</v>
      </c>
      <c r="N57">
        <f t="shared" si="24"/>
        <v>83600</v>
      </c>
      <c r="O57" s="52">
        <v>35</v>
      </c>
      <c r="P57">
        <f t="shared" si="25"/>
        <v>2388.5714285714284</v>
      </c>
      <c r="Q57" s="51">
        <v>2.7</v>
      </c>
      <c r="R57" s="52">
        <v>9.34</v>
      </c>
      <c r="S57" s="52">
        <v>5.32</v>
      </c>
      <c r="T57" s="52">
        <v>24.44</v>
      </c>
      <c r="U57" s="52" t="s">
        <v>159</v>
      </c>
      <c r="V57" s="52">
        <v>12.74</v>
      </c>
      <c r="W57" s="52">
        <v>0.19</v>
      </c>
      <c r="X57" s="52">
        <v>0.02</v>
      </c>
      <c r="Y57" s="52">
        <v>0.02</v>
      </c>
      <c r="Z57" s="52">
        <v>31.21</v>
      </c>
      <c r="AA57" s="52">
        <v>0.48</v>
      </c>
      <c r="AB57" s="51">
        <v>11.6</v>
      </c>
      <c r="AC57" s="51">
        <f t="shared" si="26"/>
        <v>83.76</v>
      </c>
      <c r="AD57" s="52">
        <v>98.09</v>
      </c>
      <c r="AE57" s="52">
        <f t="shared" si="27"/>
        <v>1.1938872970391594</v>
      </c>
      <c r="AF57" s="52">
        <f t="shared" si="28"/>
        <v>37.261222540592165</v>
      </c>
      <c r="AG57" s="52">
        <f t="shared" si="29"/>
        <v>0.57306590257879653</v>
      </c>
      <c r="AH57" s="52">
        <f t="shared" si="30"/>
        <v>11.150907354345749</v>
      </c>
      <c r="AI57" s="52">
        <f t="shared" si="31"/>
        <v>15.210124164278891</v>
      </c>
      <c r="AJ57" s="52">
        <f t="shared" si="32"/>
        <v>0.22683858643744029</v>
      </c>
      <c r="AK57" s="52">
        <f t="shared" si="33"/>
        <v>29.178605539637058</v>
      </c>
      <c r="AL57" s="52">
        <f t="shared" si="34"/>
        <v>6.3514804202483282</v>
      </c>
      <c r="AM57" s="52">
        <f t="shared" si="35"/>
        <v>2.387774594078319E-2</v>
      </c>
      <c r="AN57" s="52" t="e">
        <f t="shared" si="36"/>
        <v>#VALUE!</v>
      </c>
      <c r="AO57" s="52">
        <f t="shared" si="37"/>
        <v>2.387774594078319E-2</v>
      </c>
      <c r="AP57" s="50">
        <v>38</v>
      </c>
      <c r="AQ57" s="50">
        <v>1</v>
      </c>
      <c r="AR57" s="51">
        <v>1.4</v>
      </c>
      <c r="AS57" s="51">
        <v>1.3</v>
      </c>
      <c r="AT57" s="51">
        <v>7.2</v>
      </c>
      <c r="AU57" s="51">
        <v>488.8</v>
      </c>
      <c r="AV57" s="50">
        <v>619</v>
      </c>
      <c r="AW57" s="51">
        <v>5.0999999999999996</v>
      </c>
      <c r="AX57" s="80">
        <v>15200</v>
      </c>
      <c r="AY57" s="52">
        <v>2.1</v>
      </c>
      <c r="AZ57" s="3">
        <v>1.37</v>
      </c>
      <c r="BA57" s="52">
        <v>0.57999999999999996</v>
      </c>
      <c r="BB57" s="51">
        <v>7.5</v>
      </c>
      <c r="BC57" s="52">
        <v>1.89</v>
      </c>
      <c r="BD57" s="51">
        <v>0.9</v>
      </c>
      <c r="BE57" s="52">
        <v>0.64</v>
      </c>
      <c r="BG57" s="51">
        <v>1.9</v>
      </c>
      <c r="BI57" s="52">
        <v>0.19</v>
      </c>
      <c r="BJ57" s="51">
        <v>0.3</v>
      </c>
      <c r="BK57" s="60">
        <v>1.7</v>
      </c>
      <c r="BL57" s="51">
        <v>4.5</v>
      </c>
      <c r="BM57" s="50">
        <v>23200</v>
      </c>
      <c r="BN57" s="51">
        <v>27</v>
      </c>
      <c r="BO57" s="52">
        <v>0.98</v>
      </c>
      <c r="BP57" s="51">
        <v>0.8</v>
      </c>
      <c r="BQ57" s="51">
        <v>0.4</v>
      </c>
      <c r="BR57" s="50">
        <v>20</v>
      </c>
      <c r="BS57" s="52">
        <v>1.33</v>
      </c>
      <c r="BT57" s="50" t="s">
        <v>205</v>
      </c>
      <c r="BU57" s="51">
        <v>89.8</v>
      </c>
      <c r="BV57" s="51" t="s">
        <v>206</v>
      </c>
      <c r="BW57" s="52">
        <v>0.35</v>
      </c>
      <c r="BX57" s="51">
        <v>0.4</v>
      </c>
      <c r="BY57" s="50">
        <f>10000*AA57*47.867/79.867</f>
        <v>2876.8026844629189</v>
      </c>
      <c r="BZ57" s="53"/>
      <c r="CA57" s="52">
        <v>0.2</v>
      </c>
      <c r="CB57" s="51" t="s">
        <v>206</v>
      </c>
      <c r="CC57" s="50">
        <v>135</v>
      </c>
      <c r="CD57" s="51" t="s">
        <v>207</v>
      </c>
      <c r="CE57" s="51">
        <v>14</v>
      </c>
      <c r="CF57" s="52">
        <v>1.28</v>
      </c>
      <c r="CG57" s="50">
        <v>84</v>
      </c>
      <c r="CH57" s="51">
        <v>33.6</v>
      </c>
      <c r="CI57" s="53"/>
      <c r="CJ57" s="3">
        <f>AE57*AP57/6.6</f>
        <v>6.873896558710312</v>
      </c>
      <c r="CK57" s="3">
        <f>AE57*BX57/0.0795</f>
        <v>6.0069801108888532</v>
      </c>
      <c r="CL57" s="3">
        <f>AE57*BK57/0.658</f>
        <v>3.0845112537485879</v>
      </c>
      <c r="CM57" s="3">
        <f>AE57*BG57/0.648</f>
        <v>3.5005954697135842</v>
      </c>
      <c r="CN57" s="3">
        <f>AE57*AT57/1.675</f>
        <v>5.1319334559295209</v>
      </c>
      <c r="CO57" s="3">
        <f>AE57*BL57/1.25</f>
        <v>4.2979942693409736</v>
      </c>
      <c r="CP57" s="3">
        <f>AE57*BU57/19.9</f>
        <v>5.3874914208098756</v>
      </c>
      <c r="CQ57" s="3">
        <f>AE57*BS57/0.406</f>
        <v>3.9110101109903495</v>
      </c>
      <c r="CR57" s="3">
        <f>AE57*CH57/10.5</f>
        <v>3.8204393505253105</v>
      </c>
      <c r="CS57" s="3">
        <f>AE57*BY57/2000</f>
        <v>1.717289090534216</v>
      </c>
      <c r="CT57" s="3">
        <f>AE57*BA57/0.154</f>
        <v>4.4964586511864439</v>
      </c>
      <c r="CU57" s="3">
        <f>AE57*BC57/0.544</f>
        <v>4.1478804989044322</v>
      </c>
      <c r="CV57" s="3">
        <f>AE57*AY57/0.674</f>
        <v>3.7198268898846214</v>
      </c>
      <c r="CW57" s="3">
        <f>AE57*AZ57/0.438</f>
        <v>3.7343050158530788</v>
      </c>
      <c r="CX57" s="3">
        <f>AE57*CF57/0.441</f>
        <v>3.465251111587583</v>
      </c>
      <c r="DB57" s="23">
        <f t="shared" si="22"/>
        <v>0.51348784194528863</v>
      </c>
      <c r="DC57" s="23">
        <f t="shared" si="23"/>
        <v>1.733490566037736</v>
      </c>
      <c r="DH57" s="4">
        <f>K57*38/M57/10000</f>
        <v>6.9090909090909101</v>
      </c>
      <c r="DI57" s="48" t="s">
        <v>213</v>
      </c>
      <c r="DJ57" s="48" t="s">
        <v>213</v>
      </c>
      <c r="DK57" s="4">
        <f t="shared" si="15"/>
        <v>1.4765625</v>
      </c>
      <c r="DL57" s="1">
        <v>2017.1428571428571</v>
      </c>
      <c r="DN57" s="4">
        <f t="shared" si="16"/>
        <v>1.0101996527777777</v>
      </c>
      <c r="DO57" s="102">
        <f>1000*AX57/G57</f>
        <v>28085.735402808572</v>
      </c>
      <c r="DP57" s="102" t="e">
        <f>G57/F57</f>
        <v>#DIV/0!</v>
      </c>
      <c r="DQ57" s="4">
        <f>BM57/K57</f>
        <v>1.5263157894736843</v>
      </c>
    </row>
    <row r="58" spans="1:122">
      <c r="A58" t="s">
        <v>230</v>
      </c>
      <c r="B58" t="s">
        <v>229</v>
      </c>
      <c r="C58">
        <v>143.69999999999999</v>
      </c>
      <c r="E58" s="50">
        <v>8</v>
      </c>
      <c r="F58" s="50"/>
      <c r="G58" s="51">
        <v>7.8</v>
      </c>
      <c r="H58" s="51">
        <v>5.7</v>
      </c>
      <c r="K58" s="50">
        <v>352.1</v>
      </c>
      <c r="L58" s="3">
        <v>3.6300000000000003</v>
      </c>
      <c r="M58" s="52">
        <v>0.23</v>
      </c>
      <c r="N58">
        <f t="shared" si="24"/>
        <v>2300</v>
      </c>
      <c r="O58" s="52">
        <v>0.9</v>
      </c>
      <c r="P58">
        <f t="shared" si="25"/>
        <v>2555.5555555555557</v>
      </c>
      <c r="Q58" s="51" t="s">
        <v>211</v>
      </c>
      <c r="R58" s="52">
        <v>14.01</v>
      </c>
      <c r="S58" s="52">
        <v>5.25</v>
      </c>
      <c r="T58" s="52">
        <v>12.07</v>
      </c>
      <c r="U58" s="52">
        <v>0.63</v>
      </c>
      <c r="V58" s="52">
        <v>12.9</v>
      </c>
      <c r="W58" s="52">
        <v>0.17</v>
      </c>
      <c r="X58" s="52">
        <v>2.16</v>
      </c>
      <c r="Y58" s="52">
        <v>0.06</v>
      </c>
      <c r="Z58" s="52">
        <v>43.1</v>
      </c>
      <c r="AA58" s="52">
        <v>0.78</v>
      </c>
      <c r="AB58" s="51">
        <v>8.3000000000000007</v>
      </c>
      <c r="AC58" s="51">
        <f t="shared" si="26"/>
        <v>91.13</v>
      </c>
      <c r="AD58" s="52">
        <v>99.61</v>
      </c>
      <c r="AE58" s="52">
        <f t="shared" si="27"/>
        <v>1.097333479644464</v>
      </c>
      <c r="AF58" s="52">
        <f t="shared" si="28"/>
        <v>47.295072972676401</v>
      </c>
      <c r="AG58" s="52">
        <f t="shared" si="29"/>
        <v>0.85592011412268199</v>
      </c>
      <c r="AH58" s="52">
        <f t="shared" si="30"/>
        <v>15.37364204981894</v>
      </c>
      <c r="AI58" s="52">
        <f t="shared" si="31"/>
        <v>14.155601887413587</v>
      </c>
      <c r="AJ58" s="52">
        <f t="shared" si="32"/>
        <v>0.18654669153955891</v>
      </c>
      <c r="AK58" s="52">
        <f t="shared" si="33"/>
        <v>13.244815099308681</v>
      </c>
      <c r="AL58" s="52">
        <f t="shared" si="34"/>
        <v>5.7610007681334361</v>
      </c>
      <c r="AM58" s="52">
        <f t="shared" si="35"/>
        <v>2.3702403160320427</v>
      </c>
      <c r="AN58" s="52">
        <f t="shared" si="36"/>
        <v>0.69132009217601231</v>
      </c>
      <c r="AO58" s="52">
        <f t="shared" si="37"/>
        <v>6.5840008778667844E-2</v>
      </c>
      <c r="AP58" s="50">
        <v>520</v>
      </c>
      <c r="AQ58" s="50" t="s">
        <v>205</v>
      </c>
      <c r="AR58" s="51" t="s">
        <v>206</v>
      </c>
      <c r="AS58" s="51">
        <v>0.1</v>
      </c>
      <c r="AT58" s="51">
        <v>10.199999999999999</v>
      </c>
      <c r="AU58" s="51">
        <v>70.099999999999994</v>
      </c>
      <c r="AV58" s="50">
        <v>471</v>
      </c>
      <c r="AW58" s="51">
        <v>11.5</v>
      </c>
      <c r="AX58" s="50">
        <v>352.1</v>
      </c>
      <c r="AY58" s="52">
        <v>3.56</v>
      </c>
      <c r="AZ58" s="3">
        <v>1.82</v>
      </c>
      <c r="BA58" s="52">
        <v>0.81</v>
      </c>
      <c r="BB58" s="51">
        <v>12.5</v>
      </c>
      <c r="BC58" s="52">
        <v>2.77</v>
      </c>
      <c r="BD58" s="51">
        <v>1.5</v>
      </c>
      <c r="BE58" s="52">
        <v>0.64</v>
      </c>
      <c r="BG58" s="51">
        <v>3.3</v>
      </c>
      <c r="BI58" s="52">
        <v>0.31</v>
      </c>
      <c r="BJ58" s="51">
        <v>0.2</v>
      </c>
      <c r="BK58" s="60">
        <v>2.5</v>
      </c>
      <c r="BL58" s="51">
        <v>5.7</v>
      </c>
      <c r="BM58" s="50">
        <v>678</v>
      </c>
      <c r="BN58" s="51">
        <v>0.9</v>
      </c>
      <c r="BO58" s="52">
        <v>1.5</v>
      </c>
      <c r="BP58" s="51">
        <v>31.3</v>
      </c>
      <c r="BQ58" s="51" t="s">
        <v>206</v>
      </c>
      <c r="BR58" s="50">
        <v>36</v>
      </c>
      <c r="BS58" s="52">
        <v>1.94</v>
      </c>
      <c r="BT58" s="50" t="s">
        <v>205</v>
      </c>
      <c r="BU58" s="51">
        <v>147.9</v>
      </c>
      <c r="BV58" s="51">
        <v>0.3</v>
      </c>
      <c r="BW58" s="52">
        <v>0.5</v>
      </c>
      <c r="BX58" s="51">
        <v>1</v>
      </c>
      <c r="BY58" s="50">
        <f>10000*AA58*47.867/79.867</f>
        <v>4674.8043622522437</v>
      </c>
      <c r="BZ58" s="53"/>
      <c r="CA58" s="52">
        <v>0.27</v>
      </c>
      <c r="CB58" s="51">
        <v>0.3</v>
      </c>
      <c r="CC58" s="50">
        <v>245</v>
      </c>
      <c r="CD58" s="51" t="s">
        <v>207</v>
      </c>
      <c r="CE58" s="51">
        <v>20.5</v>
      </c>
      <c r="CF58" s="52">
        <v>2.0699999999999998</v>
      </c>
      <c r="CG58" s="50">
        <v>59</v>
      </c>
      <c r="CH58" s="51">
        <v>49.7</v>
      </c>
      <c r="CI58" s="53"/>
      <c r="CJ58" s="3">
        <f>AE58*AP58/6.6</f>
        <v>86.456577184109292</v>
      </c>
      <c r="CK58" s="3">
        <f>AE58*BX58/0.0795</f>
        <v>13.802936850873762</v>
      </c>
      <c r="CL58" s="3">
        <f>AE58*BK58/0.658</f>
        <v>4.1692001506248628</v>
      </c>
      <c r="CM58" s="3">
        <f>AE58*BG58/0.648</f>
        <v>5.588272350041251</v>
      </c>
      <c r="CN58" s="3">
        <f>AE58*AT58/1.675</f>
        <v>6.6822695476856913</v>
      </c>
      <c r="CO58" s="3">
        <f>AE58*BL58/1.25</f>
        <v>5.0038406671787561</v>
      </c>
      <c r="CP58" s="3">
        <f>AE58*BU58/19.9</f>
        <v>8.1555588763525755</v>
      </c>
      <c r="CQ58" s="3">
        <f>AE58*BS58/0.406</f>
        <v>5.2434161342617251</v>
      </c>
      <c r="CR58" s="3">
        <f>AE58*CH58/10.5</f>
        <v>5.1940451369837968</v>
      </c>
      <c r="CS58" s="3">
        <f>AE58*BY58/2000</f>
        <v>2.5649096687436872</v>
      </c>
      <c r="CT58" s="3">
        <f>AE58*BA58/0.154</f>
        <v>5.7716890812468566</v>
      </c>
      <c r="CU58" s="3">
        <f>AE58*BC58/0.544</f>
        <v>5.5875252548072893</v>
      </c>
      <c r="CV58" s="3">
        <f>AE58*AY58/0.674</f>
        <v>5.7960047292793648</v>
      </c>
      <c r="CW58" s="3">
        <f>AE58*AZ58/0.438</f>
        <v>4.5596961939564489</v>
      </c>
      <c r="CX58" s="3">
        <f>AE58*CF58/0.441</f>
        <v>5.1507489860862599</v>
      </c>
      <c r="DB58" s="23">
        <f t="shared" si="22"/>
        <v>0.30205167173252273</v>
      </c>
      <c r="DC58" s="23">
        <f t="shared" si="23"/>
        <v>2.679792179382007</v>
      </c>
      <c r="DH58" s="4">
        <f>K58*38/M58/10000</f>
        <v>5.8173043478260871</v>
      </c>
      <c r="DI58" s="48" t="s">
        <v>213</v>
      </c>
      <c r="DJ58" s="48" t="s">
        <v>213</v>
      </c>
      <c r="DK58" s="4">
        <f t="shared" si="15"/>
        <v>1.3381642512077296</v>
      </c>
      <c r="DL58" s="1">
        <v>2222.2222222222222</v>
      </c>
      <c r="DN58" s="4">
        <f t="shared" si="16"/>
        <v>1.0849436392914651</v>
      </c>
      <c r="DO58" s="102">
        <f>1000*AX58/G58</f>
        <v>45141.025641025641</v>
      </c>
      <c r="DP58" s="102" t="e">
        <f>G58/F58</f>
        <v>#DIV/0!</v>
      </c>
      <c r="DQ58" s="4">
        <f>BM58/K58</f>
        <v>1.9255893212155637</v>
      </c>
    </row>
    <row r="59" spans="1:122">
      <c r="A59" t="s">
        <v>231</v>
      </c>
      <c r="B59" t="s">
        <v>229</v>
      </c>
      <c r="C59">
        <v>145.19999999999999</v>
      </c>
      <c r="E59" s="50">
        <v>6</v>
      </c>
      <c r="F59" s="50"/>
      <c r="G59" s="51">
        <v>3.3</v>
      </c>
      <c r="H59" s="51">
        <v>2.2999999999999998</v>
      </c>
      <c r="K59" s="50">
        <v>175</v>
      </c>
      <c r="L59" s="3">
        <v>2.7133333333333334</v>
      </c>
      <c r="M59" s="52">
        <v>0.13</v>
      </c>
      <c r="N59">
        <f t="shared" si="24"/>
        <v>1300</v>
      </c>
      <c r="O59" s="52">
        <v>0.33500000000000002</v>
      </c>
      <c r="P59">
        <f t="shared" si="25"/>
        <v>3880.5970149253731</v>
      </c>
      <c r="Q59" s="51">
        <v>1.9E-2</v>
      </c>
      <c r="R59" s="52">
        <v>14.75</v>
      </c>
      <c r="S59" s="52">
        <v>3.57</v>
      </c>
      <c r="T59" s="52">
        <v>11.95</v>
      </c>
      <c r="U59" s="52">
        <v>1.05</v>
      </c>
      <c r="V59" s="52">
        <v>12.2</v>
      </c>
      <c r="W59" s="52">
        <v>0.15</v>
      </c>
      <c r="X59" s="52">
        <v>1.6</v>
      </c>
      <c r="Y59" s="52">
        <v>0.05</v>
      </c>
      <c r="Z59" s="52">
        <v>44.59</v>
      </c>
      <c r="AA59" s="52">
        <v>0.83</v>
      </c>
      <c r="AB59" s="51">
        <v>8.6999999999999993</v>
      </c>
      <c r="AC59" s="51">
        <f t="shared" si="26"/>
        <v>90.74</v>
      </c>
      <c r="AD59" s="52">
        <v>99.57</v>
      </c>
      <c r="AE59" s="52">
        <f t="shared" si="27"/>
        <v>1.1020498126515319</v>
      </c>
      <c r="AF59" s="52">
        <f t="shared" si="28"/>
        <v>49.140401146131808</v>
      </c>
      <c r="AG59" s="52">
        <f t="shared" si="29"/>
        <v>0.91470134450077145</v>
      </c>
      <c r="AH59" s="52">
        <f t="shared" si="30"/>
        <v>16.255234736610095</v>
      </c>
      <c r="AI59" s="52">
        <f t="shared" si="31"/>
        <v>13.445007714348689</v>
      </c>
      <c r="AJ59" s="52">
        <f t="shared" si="32"/>
        <v>0.16530747189772979</v>
      </c>
      <c r="AK59" s="52">
        <f t="shared" si="33"/>
        <v>13.169495261185805</v>
      </c>
      <c r="AL59" s="52">
        <f t="shared" si="34"/>
        <v>3.9343178311659686</v>
      </c>
      <c r="AM59" s="52">
        <f t="shared" si="35"/>
        <v>1.7632797002424512</v>
      </c>
      <c r="AN59" s="52">
        <f t="shared" si="36"/>
        <v>1.1571523032841085</v>
      </c>
      <c r="AO59" s="52">
        <f t="shared" si="37"/>
        <v>5.5102490632576599E-2</v>
      </c>
      <c r="AP59" s="50">
        <v>1101</v>
      </c>
      <c r="AQ59" s="50">
        <v>1</v>
      </c>
      <c r="AR59" s="51" t="s">
        <v>206</v>
      </c>
      <c r="AS59" s="51" t="s">
        <v>206</v>
      </c>
      <c r="AT59" s="51">
        <v>9.8000000000000007</v>
      </c>
      <c r="AU59" s="51">
        <v>71.400000000000006</v>
      </c>
      <c r="AV59" s="50">
        <v>480</v>
      </c>
      <c r="AW59" s="51">
        <v>7</v>
      </c>
      <c r="AX59" s="50">
        <v>175</v>
      </c>
      <c r="AY59" s="52">
        <v>3.1</v>
      </c>
      <c r="AZ59" s="3">
        <v>2.11</v>
      </c>
      <c r="BA59" s="52">
        <v>0.63</v>
      </c>
      <c r="BB59" s="51">
        <v>12.8</v>
      </c>
      <c r="BC59" s="52">
        <v>2.68</v>
      </c>
      <c r="BD59" s="51">
        <v>1.4</v>
      </c>
      <c r="BE59" s="52">
        <v>1.1499999999999999</v>
      </c>
      <c r="BG59" s="51">
        <v>3.8</v>
      </c>
      <c r="BI59" s="52">
        <v>0.32</v>
      </c>
      <c r="BJ59" s="51">
        <v>0.1</v>
      </c>
      <c r="BK59" s="60">
        <v>2.5</v>
      </c>
      <c r="BL59" s="51">
        <v>6</v>
      </c>
      <c r="BM59" s="50">
        <v>750</v>
      </c>
      <c r="BN59" s="51">
        <v>1.3</v>
      </c>
      <c r="BO59" s="52">
        <v>1.24</v>
      </c>
      <c r="BP59" s="51">
        <v>34.5</v>
      </c>
      <c r="BQ59" s="51" t="s">
        <v>206</v>
      </c>
      <c r="BR59" s="50">
        <v>37</v>
      </c>
      <c r="BS59" s="52">
        <v>1.66</v>
      </c>
      <c r="BT59" s="50" t="s">
        <v>205</v>
      </c>
      <c r="BU59" s="51">
        <v>204.3</v>
      </c>
      <c r="BV59" s="51">
        <v>0.1</v>
      </c>
      <c r="BW59" s="52">
        <v>0.49</v>
      </c>
      <c r="BX59" s="51">
        <v>0.9</v>
      </c>
      <c r="BY59" s="50">
        <f>10000*AA59*47.867/79.867</f>
        <v>4974.4713085504645</v>
      </c>
      <c r="BZ59" s="53"/>
      <c r="CA59" s="52">
        <v>0.31</v>
      </c>
      <c r="CB59" s="51">
        <v>0.2</v>
      </c>
      <c r="CC59" s="50">
        <v>264</v>
      </c>
      <c r="CD59" s="51" t="s">
        <v>207</v>
      </c>
      <c r="CE59" s="51">
        <v>17</v>
      </c>
      <c r="CF59" s="52">
        <v>1.65</v>
      </c>
      <c r="CG59" s="50">
        <v>82</v>
      </c>
      <c r="CH59" s="51">
        <v>46.9</v>
      </c>
      <c r="CI59" s="53"/>
      <c r="CJ59" s="3">
        <f>AE59*AP59/6.6</f>
        <v>183.84194601959646</v>
      </c>
      <c r="CK59" s="3">
        <f>AE59*BX59/0.0795</f>
        <v>12.476035614923003</v>
      </c>
      <c r="CL59" s="3">
        <f>AE59*BK59/0.658</f>
        <v>4.1871193489799845</v>
      </c>
      <c r="CM59" s="3">
        <f>AE59*BG59/0.648</f>
        <v>6.462637790240465</v>
      </c>
      <c r="CN59" s="3">
        <f>AE59*AT59/1.675</f>
        <v>6.447813829244784</v>
      </c>
      <c r="CO59" s="3">
        <f>AE59*BL59/1.25</f>
        <v>5.2898391007273533</v>
      </c>
      <c r="CP59" s="3">
        <f>AE59*BU59/19.9</f>
        <v>11.314008880638593</v>
      </c>
      <c r="CQ59" s="3">
        <f>AE59*BS59/0.406</f>
        <v>4.5059179532057705</v>
      </c>
      <c r="CR59" s="3">
        <f>AE59*CH59/10.5</f>
        <v>4.9224891631768424</v>
      </c>
      <c r="CS59" s="3">
        <f>AE59*BY59/2000</f>
        <v>2.7410575868142302</v>
      </c>
      <c r="CT59" s="3">
        <f>AE59*BA59/0.154</f>
        <v>4.5083855972108129</v>
      </c>
      <c r="CU59" s="3">
        <f>AE59*BC59/0.544</f>
        <v>5.4292159887979876</v>
      </c>
      <c r="CV59" s="3">
        <f>AE59*AY59/0.674</f>
        <v>5.0687751026999237</v>
      </c>
      <c r="CW59" s="3">
        <f>AE59*AZ59/0.438</f>
        <v>5.3089614262436813</v>
      </c>
      <c r="CX59" s="3">
        <f>AE59*CF59/0.441</f>
        <v>4.1233156255669554</v>
      </c>
      <c r="DB59" s="23">
        <f t="shared" si="22"/>
        <v>0.33561296859169198</v>
      </c>
      <c r="DC59" s="23">
        <f t="shared" si="23"/>
        <v>3.0257289879931393</v>
      </c>
      <c r="DH59" s="4">
        <f>K59*38/M59/10000</f>
        <v>5.115384615384615</v>
      </c>
      <c r="DI59" s="48" t="s">
        <v>213</v>
      </c>
      <c r="DJ59" s="48" t="s">
        <v>213</v>
      </c>
      <c r="DK59" s="4">
        <f t="shared" si="15"/>
        <v>1.6242424242424245</v>
      </c>
      <c r="DL59" s="1"/>
      <c r="DN59" s="4">
        <f t="shared" si="16"/>
        <v>1.5673400673400677</v>
      </c>
      <c r="DO59" s="102">
        <f>1000*AX59/G59</f>
        <v>53030.303030303032</v>
      </c>
      <c r="DP59" s="102" t="e">
        <f>G59/F59</f>
        <v>#DIV/0!</v>
      </c>
      <c r="DQ59" s="4">
        <f>BM59/K59</f>
        <v>4.2857142857142856</v>
      </c>
    </row>
    <row r="60" spans="1:122" s="36" customFormat="1" ht="15">
      <c r="A60"/>
      <c r="B60"/>
      <c r="C60" s="55"/>
      <c r="D60" s="55"/>
      <c r="E60" s="50"/>
      <c r="F60" s="50"/>
      <c r="G60" s="51"/>
      <c r="H60" s="51"/>
      <c r="I60"/>
      <c r="J60"/>
      <c r="K60" s="50"/>
      <c r="L60" s="3"/>
      <c r="M60" s="52"/>
      <c r="N60"/>
      <c r="O60" s="52"/>
      <c r="P60"/>
      <c r="Q60" s="51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1"/>
      <c r="AC60" s="51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0"/>
      <c r="AQ60" s="50"/>
      <c r="AR60" s="51"/>
      <c r="AS60" s="51"/>
      <c r="AT60" s="51"/>
      <c r="AU60" s="51"/>
      <c r="AV60" s="50"/>
      <c r="AW60" s="51"/>
      <c r="AX60" s="50"/>
      <c r="AY60" s="52"/>
      <c r="AZ60" s="3"/>
      <c r="BA60" s="52"/>
      <c r="BB60" s="51"/>
      <c r="BC60" s="52"/>
      <c r="BD60" s="51"/>
      <c r="BE60" s="52"/>
      <c r="BF60"/>
      <c r="BG60" s="51"/>
      <c r="BH60"/>
      <c r="BI60" s="65"/>
      <c r="BJ60" s="51"/>
      <c r="BK60" s="71"/>
      <c r="BL60" s="72"/>
      <c r="BM60" s="57"/>
      <c r="BN60" s="51"/>
      <c r="BO60" s="52"/>
      <c r="BP60" s="51"/>
      <c r="BQ60" s="51"/>
      <c r="BR60" s="50"/>
      <c r="BS60" s="52"/>
      <c r="BT60" s="50"/>
      <c r="BU60" s="51"/>
      <c r="BV60" s="51"/>
      <c r="BW60" s="52"/>
      <c r="BX60" s="51"/>
      <c r="BY60" s="50"/>
      <c r="BZ60" s="53"/>
      <c r="CA60" s="52"/>
      <c r="CB60" s="51"/>
      <c r="CC60" s="50"/>
      <c r="CD60" s="51"/>
      <c r="CE60" s="51"/>
      <c r="CF60" s="52"/>
      <c r="CG60" s="50"/>
      <c r="CH60" s="51"/>
      <c r="CI60" s="5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DB60" s="23"/>
      <c r="DC60" s="23"/>
      <c r="DH60" s="4"/>
      <c r="DI60" s="48"/>
      <c r="DJ60" s="48"/>
      <c r="DK60" s="4" t="e">
        <f t="shared" si="15"/>
        <v>#DIV/0!</v>
      </c>
      <c r="DL60" s="1"/>
      <c r="DN60" s="4" t="e">
        <f t="shared" si="16"/>
        <v>#DIV/0!</v>
      </c>
      <c r="DO60" s="102" t="e">
        <f>1000*AX60/G60</f>
        <v>#DIV/0!</v>
      </c>
      <c r="DP60" s="102" t="e">
        <f>G60/F60</f>
        <v>#DIV/0!</v>
      </c>
      <c r="DQ60" s="4" t="e">
        <f>BM60/K60</f>
        <v>#DIV/0!</v>
      </c>
      <c r="DR60"/>
    </row>
    <row r="61" spans="1:122" s="36" customFormat="1" ht="15">
      <c r="A61" s="61" t="s">
        <v>242</v>
      </c>
      <c r="B61" s="61" t="s">
        <v>243</v>
      </c>
      <c r="C61" s="62">
        <v>634.6</v>
      </c>
      <c r="D61" s="62"/>
      <c r="E61" s="63">
        <v>5</v>
      </c>
      <c r="F61" s="63"/>
      <c r="G61" s="64">
        <v>6.9</v>
      </c>
      <c r="H61" s="64">
        <v>24.3</v>
      </c>
      <c r="I61" s="61"/>
      <c r="J61" s="61"/>
      <c r="K61" s="63">
        <v>182.3</v>
      </c>
      <c r="L61" s="3">
        <v>0.10999999999999999</v>
      </c>
      <c r="M61" s="65">
        <v>0.62</v>
      </c>
      <c r="N61">
        <f t="shared" si="24"/>
        <v>6200</v>
      </c>
      <c r="O61" s="65">
        <v>0.50080000000000002</v>
      </c>
      <c r="P61">
        <f t="shared" si="25"/>
        <v>12380.191693290733</v>
      </c>
      <c r="Q61" s="64">
        <v>3.9E-2</v>
      </c>
      <c r="R61" s="65">
        <v>4.0199999999999996</v>
      </c>
      <c r="S61" s="65">
        <v>9.92</v>
      </c>
      <c r="T61" s="65">
        <v>21.64</v>
      </c>
      <c r="U61" s="65">
        <v>7.0000000000000007E-2</v>
      </c>
      <c r="V61" s="65">
        <v>17.55</v>
      </c>
      <c r="W61" s="65">
        <v>0.19</v>
      </c>
      <c r="X61" s="65">
        <v>0.51</v>
      </c>
      <c r="Y61" s="65" t="s">
        <v>159</v>
      </c>
      <c r="Z61" s="65">
        <v>42.95</v>
      </c>
      <c r="AA61" s="65">
        <v>0.06</v>
      </c>
      <c r="AB61" s="64">
        <v>2.4</v>
      </c>
      <c r="AC61" s="64">
        <f t="shared" si="26"/>
        <v>96.91</v>
      </c>
      <c r="AD61" s="65">
        <v>99.66</v>
      </c>
      <c r="AE61" s="65">
        <f t="shared" si="27"/>
        <v>1.0318852543597152</v>
      </c>
      <c r="AF61" s="65">
        <f t="shared" si="28"/>
        <v>44.319471674749771</v>
      </c>
      <c r="AG61" s="65">
        <f t="shared" si="29"/>
        <v>6.1913115261582913E-2</v>
      </c>
      <c r="AH61" s="65">
        <f t="shared" si="30"/>
        <v>4.1481787225260547</v>
      </c>
      <c r="AI61" s="65">
        <f t="shared" si="31"/>
        <v>18.109586214013003</v>
      </c>
      <c r="AJ61" s="65">
        <f t="shared" si="32"/>
        <v>0.1960581983283459</v>
      </c>
      <c r="AK61" s="65">
        <f t="shared" si="33"/>
        <v>22.329996904344238</v>
      </c>
      <c r="AL61" s="65">
        <f t="shared" si="34"/>
        <v>10.236301723248374</v>
      </c>
      <c r="AM61" s="65">
        <f t="shared" si="35"/>
        <v>0.52626147972345483</v>
      </c>
      <c r="AN61" s="65">
        <f t="shared" si="36"/>
        <v>7.223196780518007E-2</v>
      </c>
      <c r="AO61" s="65" t="e">
        <f t="shared" si="37"/>
        <v>#VALUE!</v>
      </c>
      <c r="AP61" s="63">
        <v>13</v>
      </c>
      <c r="AQ61" s="63" t="s">
        <v>205</v>
      </c>
      <c r="AR61" s="64">
        <v>0.6</v>
      </c>
      <c r="AS61" s="64" t="s">
        <v>206</v>
      </c>
      <c r="AT61" s="64">
        <v>0.4</v>
      </c>
      <c r="AU61" s="64">
        <v>84.8</v>
      </c>
      <c r="AV61" s="63">
        <v>910</v>
      </c>
      <c r="AW61" s="64">
        <v>1.2</v>
      </c>
      <c r="AX61" s="63">
        <v>182.3</v>
      </c>
      <c r="AY61" s="65">
        <v>0.84</v>
      </c>
      <c r="AZ61" s="66">
        <v>0.55000000000000004</v>
      </c>
      <c r="BA61" s="65">
        <v>0.15</v>
      </c>
      <c r="BB61" s="64">
        <v>2.2999999999999998</v>
      </c>
      <c r="BC61" s="65">
        <v>0.41</v>
      </c>
      <c r="BD61" s="64" t="s">
        <v>206</v>
      </c>
      <c r="BE61" s="61"/>
      <c r="BF61" s="61"/>
      <c r="BG61" s="64">
        <v>9.6999999999999993</v>
      </c>
      <c r="BH61" s="61"/>
      <c r="BI61" s="52">
        <v>0.1</v>
      </c>
      <c r="BJ61" s="64" t="s">
        <v>206</v>
      </c>
      <c r="BK61" s="76">
        <v>0.05</v>
      </c>
      <c r="BL61" s="51">
        <v>0.8</v>
      </c>
      <c r="BM61" s="50">
        <v>609</v>
      </c>
      <c r="BN61" s="64">
        <v>5.7</v>
      </c>
      <c r="BO61" s="65">
        <v>7.0000000000000007E-2</v>
      </c>
      <c r="BP61" s="64">
        <v>1</v>
      </c>
      <c r="BQ61" s="64">
        <v>1.8</v>
      </c>
      <c r="BR61" s="63">
        <v>24</v>
      </c>
      <c r="BS61" s="78">
        <v>2.5000000000000001E-2</v>
      </c>
      <c r="BT61" s="63">
        <v>3</v>
      </c>
      <c r="BU61" s="64">
        <v>8.6999999999999993</v>
      </c>
      <c r="BV61" s="64" t="s">
        <v>206</v>
      </c>
      <c r="BW61" s="65">
        <v>0.11</v>
      </c>
      <c r="BX61" s="74">
        <v>0.1</v>
      </c>
      <c r="BY61" s="50">
        <f>10000*AA61*47.867/79.867</f>
        <v>359.60033555786487</v>
      </c>
      <c r="BZ61" s="67"/>
      <c r="CA61" s="65">
        <v>0.09</v>
      </c>
      <c r="CB61" s="64" t="s">
        <v>206</v>
      </c>
      <c r="CC61" s="63">
        <v>89</v>
      </c>
      <c r="CD61" s="64">
        <v>1</v>
      </c>
      <c r="CE61" s="64">
        <v>5.2</v>
      </c>
      <c r="CF61" s="65">
        <v>0.64</v>
      </c>
      <c r="CG61" s="63">
        <v>21</v>
      </c>
      <c r="CH61" s="64">
        <v>2.1</v>
      </c>
      <c r="CI61" s="67"/>
      <c r="CJ61" s="3">
        <f>AE61*AP61/6.6</f>
        <v>2.0325012585873181</v>
      </c>
      <c r="CK61" s="77">
        <f>AE61*BX61/0.0795</f>
        <v>1.2979688734084469</v>
      </c>
      <c r="CL61" s="77">
        <f>AE61*BK61/0.658</f>
        <v>7.8410733613960129E-2</v>
      </c>
      <c r="CM61" s="3">
        <f>AE61*BG61/0.648</f>
        <v>15.446430505075982</v>
      </c>
      <c r="CN61" s="3">
        <f>AE61*AT61/1.675</f>
        <v>0.24642035925008124</v>
      </c>
      <c r="CO61" s="3">
        <f>AE61*BL61/1.25</f>
        <v>0.66040656279021781</v>
      </c>
      <c r="CP61" s="3">
        <f>AE61*BU61/19.9</f>
        <v>0.45112571421756398</v>
      </c>
      <c r="CQ61" s="77">
        <f>AE61*BS61/0.406</f>
        <v>6.3539732411312513E-2</v>
      </c>
      <c r="CR61" s="3">
        <f>AE61*CH61/10.5</f>
        <v>0.20637705087194305</v>
      </c>
      <c r="CS61" s="3">
        <f>AE61*BY61/2000</f>
        <v>0.18553314186248318</v>
      </c>
      <c r="CT61" s="3">
        <f>AE61*BA61/0.154</f>
        <v>1.0050830399607615</v>
      </c>
      <c r="CU61" s="3">
        <f>AE61*BC61/0.544</f>
        <v>0.77770763655787345</v>
      </c>
      <c r="CV61" s="3">
        <f>AE61*AY61/0.674</f>
        <v>1.2860291003889623</v>
      </c>
      <c r="CW61" s="3">
        <f>AE61*AZ61/0.438</f>
        <v>1.2957463239676792</v>
      </c>
      <c r="CX61" s="3">
        <f>AE61*CF61/0.441</f>
        <v>1.4975205505447116</v>
      </c>
      <c r="DB61" s="23"/>
      <c r="DC61" s="23"/>
      <c r="DH61" s="4">
        <f>K61*38/M61/10000</f>
        <v>1.1173225806451614</v>
      </c>
      <c r="DI61" s="69" t="s">
        <v>213</v>
      </c>
      <c r="DJ61" s="69" t="s">
        <v>213</v>
      </c>
      <c r="DK61" s="4">
        <f t="shared" si="15"/>
        <v>0.640625</v>
      </c>
      <c r="DL61" s="70"/>
      <c r="DN61" s="4">
        <f t="shared" si="16"/>
        <v>10.314670138888888</v>
      </c>
      <c r="DO61" s="102">
        <f>1000*AX61/G61</f>
        <v>26420.289855072464</v>
      </c>
      <c r="DP61" s="102" t="e">
        <f>G61/F61</f>
        <v>#DIV/0!</v>
      </c>
      <c r="DQ61" s="4">
        <f>BM61/K61</f>
        <v>3.3406472846955566</v>
      </c>
      <c r="DR61" s="61"/>
    </row>
    <row r="62" spans="1:122" s="36" customFormat="1" ht="15">
      <c r="A62" t="s">
        <v>238</v>
      </c>
      <c r="B62" t="s">
        <v>239</v>
      </c>
      <c r="C62" s="55">
        <v>634.6</v>
      </c>
      <c r="D62" s="55"/>
      <c r="E62" s="50">
        <v>4</v>
      </c>
      <c r="F62" s="50"/>
      <c r="G62" s="51">
        <v>9.6999999999999993</v>
      </c>
      <c r="H62" s="51">
        <v>14.7</v>
      </c>
      <c r="I62"/>
      <c r="J62"/>
      <c r="K62" s="50">
        <v>84.9</v>
      </c>
      <c r="L62" s="3">
        <v>0.10999999999999999</v>
      </c>
      <c r="M62" s="52">
        <v>0.09</v>
      </c>
      <c r="N62">
        <f t="shared" si="24"/>
        <v>900</v>
      </c>
      <c r="O62" s="52">
        <v>0.21</v>
      </c>
      <c r="P62">
        <f t="shared" si="25"/>
        <v>4285.7142857142862</v>
      </c>
      <c r="Q62" s="51">
        <v>0.02</v>
      </c>
      <c r="R62" s="52">
        <v>6.39</v>
      </c>
      <c r="S62" s="52">
        <v>12.42</v>
      </c>
      <c r="T62" s="52">
        <v>12.35</v>
      </c>
      <c r="U62" s="52">
        <v>0.2</v>
      </c>
      <c r="V62" s="52">
        <v>15.01</v>
      </c>
      <c r="W62" s="52">
        <v>0.3</v>
      </c>
      <c r="X62" s="52">
        <v>0.63</v>
      </c>
      <c r="Y62" s="52" t="s">
        <v>159</v>
      </c>
      <c r="Z62" s="52">
        <v>50.33</v>
      </c>
      <c r="AA62" s="52">
        <v>0.12</v>
      </c>
      <c r="AB62" s="51">
        <v>1.6</v>
      </c>
      <c r="AC62" s="51">
        <f>SUM(R62:AA62)</f>
        <v>97.75</v>
      </c>
      <c r="AD62" s="52">
        <v>99.7</v>
      </c>
      <c r="AE62" s="52">
        <f>100/AC62</f>
        <v>1.0230179028132993</v>
      </c>
      <c r="AF62" s="52">
        <f>Z62*AE62</f>
        <v>51.488491048593353</v>
      </c>
      <c r="AG62" s="52">
        <f>AE62*AA62</f>
        <v>0.12276214833759591</v>
      </c>
      <c r="AH62" s="52">
        <f>AE62*R62</f>
        <v>6.5370843989769822</v>
      </c>
      <c r="AI62" s="52">
        <f>AE62*V62</f>
        <v>15.355498721227622</v>
      </c>
      <c r="AJ62" s="52">
        <f>AE62*W62</f>
        <v>0.30690537084398978</v>
      </c>
      <c r="AK62" s="52">
        <f>AE62*T62</f>
        <v>12.634271099744247</v>
      </c>
      <c r="AL62" s="52">
        <f>AE62*S62</f>
        <v>12.705882352941178</v>
      </c>
      <c r="AM62" s="52">
        <f>AE62*X62</f>
        <v>0.64450127877237862</v>
      </c>
      <c r="AN62" s="52">
        <f>AE62*U62</f>
        <v>0.20460358056265987</v>
      </c>
      <c r="AO62" s="52" t="e">
        <f>AE62*Y62</f>
        <v>#VALUE!</v>
      </c>
      <c r="AP62" s="50">
        <v>69</v>
      </c>
      <c r="AQ62" s="50" t="s">
        <v>205</v>
      </c>
      <c r="AR62" s="51">
        <v>0.2</v>
      </c>
      <c r="AS62" s="51" t="s">
        <v>206</v>
      </c>
      <c r="AT62" s="51">
        <v>0.5</v>
      </c>
      <c r="AU62" s="51">
        <v>82.4</v>
      </c>
      <c r="AV62" s="50">
        <v>258</v>
      </c>
      <c r="AW62" s="51">
        <v>2.2000000000000002</v>
      </c>
      <c r="AX62" s="50">
        <v>84.9</v>
      </c>
      <c r="AY62" s="52">
        <v>0.86</v>
      </c>
      <c r="AZ62" s="3">
        <v>0.77</v>
      </c>
      <c r="BA62" s="52">
        <v>0.25</v>
      </c>
      <c r="BB62" s="51">
        <v>4.0999999999999996</v>
      </c>
      <c r="BC62" s="52">
        <v>0.28999999999999998</v>
      </c>
      <c r="BD62" s="51" t="s">
        <v>206</v>
      </c>
      <c r="BE62" s="52">
        <v>0.38</v>
      </c>
      <c r="BF62"/>
      <c r="BG62" s="51">
        <v>0.9</v>
      </c>
      <c r="BH62"/>
      <c r="BI62" s="52">
        <v>0.14000000000000001</v>
      </c>
      <c r="BJ62" s="51" t="s">
        <v>206</v>
      </c>
      <c r="BK62" s="76">
        <v>0.05</v>
      </c>
      <c r="BL62" s="51">
        <v>1.1000000000000001</v>
      </c>
      <c r="BM62" s="50">
        <v>463</v>
      </c>
      <c r="BN62" s="51">
        <v>2.2999999999999998</v>
      </c>
      <c r="BO62" s="52">
        <v>0.11</v>
      </c>
      <c r="BP62" s="51">
        <v>8.6</v>
      </c>
      <c r="BQ62" s="51">
        <v>0.7</v>
      </c>
      <c r="BR62" s="50">
        <v>41</v>
      </c>
      <c r="BS62" s="79">
        <v>2.5000000000000001E-2</v>
      </c>
      <c r="BT62" s="50" t="s">
        <v>205</v>
      </c>
      <c r="BU62" s="51">
        <v>15.2</v>
      </c>
      <c r="BV62" s="51" t="s">
        <v>206</v>
      </c>
      <c r="BW62" s="52">
        <v>0.09</v>
      </c>
      <c r="BX62" s="75">
        <v>0.1</v>
      </c>
      <c r="BY62" s="50">
        <f>10000*AA62*47.867/79.867</f>
        <v>719.20067111572973</v>
      </c>
      <c r="BZ62" s="53"/>
      <c r="CA62" s="52">
        <v>0.13</v>
      </c>
      <c r="CB62" s="51" t="s">
        <v>206</v>
      </c>
      <c r="CC62" s="50">
        <v>150</v>
      </c>
      <c r="CD62" s="51">
        <v>0.7</v>
      </c>
      <c r="CE62" s="51">
        <v>7</v>
      </c>
      <c r="CF62" s="52">
        <v>0.95</v>
      </c>
      <c r="CG62" s="50">
        <v>17</v>
      </c>
      <c r="CH62" s="51">
        <v>2.6</v>
      </c>
      <c r="CI62" s="53"/>
      <c r="CJ62" s="3">
        <f>AE62*AP62/6.6</f>
        <v>10.695187165775403</v>
      </c>
      <c r="CK62" s="77">
        <f>AE62*BX62/0.0795</f>
        <v>1.2868149720922004</v>
      </c>
      <c r="CL62" s="77">
        <f>AE62*BK62/0.658</f>
        <v>7.7736922706177755E-2</v>
      </c>
      <c r="CM62" s="3">
        <f>AE62*BG62/0.648</f>
        <v>1.4208581983518045</v>
      </c>
      <c r="CN62" s="3">
        <f>AE62*AT62/1.675</f>
        <v>0.30537847845173111</v>
      </c>
      <c r="CO62" s="3">
        <f>AE62*BL62/1.25</f>
        <v>0.9002557544757035</v>
      </c>
      <c r="CP62" s="3">
        <f>AE62*BU62/19.9</f>
        <v>0.78140060918402754</v>
      </c>
      <c r="CQ62" s="77">
        <f>AE62*BS62/0.406</f>
        <v>6.2993713227419909E-2</v>
      </c>
      <c r="CR62" s="3">
        <f>AE62*CH62/10.5</f>
        <v>0.25331871879186463</v>
      </c>
      <c r="CS62" s="3">
        <f>AE62*BY62/2000</f>
        <v>0.36787758113336561</v>
      </c>
      <c r="CT62" s="3">
        <f>AE62*BA62/0.154</f>
        <v>1.6607433487228884</v>
      </c>
      <c r="CU62" s="3">
        <f>AE62*BC62/0.544</f>
        <v>0.54535880848503082</v>
      </c>
      <c r="CV62" s="3">
        <f>AE62*AY62/0.674</f>
        <v>1.3053344160525777</v>
      </c>
      <c r="CW62" s="3">
        <f>AE62*AZ62/0.438</f>
        <v>1.798456130516531</v>
      </c>
      <c r="CX62" s="3">
        <f>AE62*CF62/0.441</f>
        <v>2.2037800627497375</v>
      </c>
      <c r="DB62" s="23"/>
      <c r="DC62" s="23"/>
      <c r="DH62" s="4">
        <f>K62*38/M62/10000</f>
        <v>3.5846666666666671</v>
      </c>
      <c r="DI62" s="48" t="s">
        <v>213</v>
      </c>
      <c r="DJ62" s="48" t="s">
        <v>213</v>
      </c>
      <c r="DK62" s="4">
        <f t="shared" si="15"/>
        <v>0.30526315789473685</v>
      </c>
      <c r="DL62" s="1"/>
      <c r="DN62" s="4">
        <f t="shared" si="16"/>
        <v>0.64473684210526316</v>
      </c>
      <c r="DO62" s="102">
        <f>1000*AX62/G62</f>
        <v>8752.57731958763</v>
      </c>
      <c r="DP62" s="102" t="e">
        <f>G62/F62</f>
        <v>#DIV/0!</v>
      </c>
      <c r="DQ62" s="4">
        <f>BM62/K62</f>
        <v>5.4534746760895167</v>
      </c>
      <c r="DR62"/>
    </row>
    <row r="63" spans="1:122" s="36" customFormat="1" ht="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 s="3"/>
      <c r="P63" s="1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 s="3"/>
      <c r="AF63" s="3"/>
      <c r="AG63" s="3"/>
      <c r="AH63" s="3"/>
      <c r="AI63" s="3">
        <v>6.5</v>
      </c>
      <c r="AJ63" s="3"/>
      <c r="AK63" s="3"/>
      <c r="AL63" s="3"/>
      <c r="AM63" s="3"/>
      <c r="AN63" s="3"/>
      <c r="AO63" s="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 s="1">
        <f>2.4993*POWER(AI63,1.9362)</f>
        <v>93.708984231084031</v>
      </c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 s="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>
        <v>0.8</v>
      </c>
      <c r="DC63">
        <v>0.5</v>
      </c>
      <c r="DE63" s="1"/>
      <c r="DF63"/>
      <c r="DG63"/>
      <c r="DH63"/>
      <c r="DI63"/>
      <c r="DJ63"/>
      <c r="DK63" s="3"/>
      <c r="DN63" s="37"/>
      <c r="DO63" s="103"/>
      <c r="DP63" s="102" t="e">
        <f>G63/F63</f>
        <v>#DIV/0!</v>
      </c>
      <c r="DQ63" s="4" t="e">
        <f>BM63/K63</f>
        <v>#DIV/0!</v>
      </c>
    </row>
    <row r="64" spans="1:122" s="86" customFormat="1">
      <c r="C64" s="86" t="s">
        <v>83</v>
      </c>
      <c r="D64" s="86" t="s">
        <v>84</v>
      </c>
      <c r="E64" s="86" t="s">
        <v>44</v>
      </c>
      <c r="F64" s="86" t="s">
        <v>92</v>
      </c>
      <c r="G64" s="86" t="s">
        <v>268</v>
      </c>
      <c r="H64" s="86" t="s">
        <v>86</v>
      </c>
      <c r="I64" s="86" t="s">
        <v>48</v>
      </c>
      <c r="J64" s="86" t="s">
        <v>49</v>
      </c>
      <c r="K64" s="86" t="s">
        <v>267</v>
      </c>
      <c r="M64" s="86" t="s">
        <v>257</v>
      </c>
      <c r="N64" s="86" t="s">
        <v>269</v>
      </c>
      <c r="O64" s="88"/>
      <c r="Q64" s="86" t="s">
        <v>97</v>
      </c>
      <c r="BM64" s="86" t="s">
        <v>6</v>
      </c>
      <c r="DO64" s="93"/>
      <c r="DP64" s="102" t="e">
        <f>G64/F64</f>
        <v>#VALUE!</v>
      </c>
      <c r="DQ64" s="4" t="e">
        <f>BM64/K64</f>
        <v>#VALUE!</v>
      </c>
    </row>
    <row r="65" spans="1:121">
      <c r="A65" t="s">
        <v>270</v>
      </c>
      <c r="B65" t="s">
        <v>203</v>
      </c>
      <c r="C65">
        <v>32.4</v>
      </c>
      <c r="D65">
        <v>33.5</v>
      </c>
      <c r="J65" s="3"/>
      <c r="K65">
        <v>500</v>
      </c>
      <c r="M65">
        <v>1.48</v>
      </c>
      <c r="N65">
        <v>14800</v>
      </c>
      <c r="P65"/>
      <c r="AE65"/>
      <c r="AF65"/>
      <c r="AG65"/>
      <c r="AH65"/>
      <c r="AI65"/>
      <c r="AJ65"/>
      <c r="AK65"/>
      <c r="AL65"/>
      <c r="AM65"/>
      <c r="AN65"/>
      <c r="AO65"/>
      <c r="BM65">
        <v>1500</v>
      </c>
      <c r="CI65"/>
      <c r="DD65"/>
      <c r="DE65"/>
      <c r="DK65"/>
      <c r="DP65" s="102"/>
      <c r="DQ65" s="8">
        <f>BM65/K65</f>
        <v>3</v>
      </c>
    </row>
    <row r="66" spans="1:121">
      <c r="A66" t="s">
        <v>270</v>
      </c>
      <c r="B66" t="s">
        <v>203</v>
      </c>
      <c r="C66">
        <v>33.5</v>
      </c>
      <c r="D66">
        <v>34.700000000000003</v>
      </c>
      <c r="J66" s="3"/>
      <c r="K66">
        <v>1300</v>
      </c>
      <c r="M66">
        <v>1.48</v>
      </c>
      <c r="N66">
        <v>14800</v>
      </c>
      <c r="P66"/>
      <c r="AE66"/>
      <c r="AF66"/>
      <c r="AG66"/>
      <c r="AH66"/>
      <c r="AI66"/>
      <c r="AJ66"/>
      <c r="AK66"/>
      <c r="AL66"/>
      <c r="AM66"/>
      <c r="AN66"/>
      <c r="AO66"/>
      <c r="BM66">
        <v>5400</v>
      </c>
      <c r="CI66"/>
      <c r="DD66"/>
      <c r="DE66"/>
      <c r="DK66"/>
      <c r="DP66" s="102"/>
      <c r="DQ66" s="104">
        <f>BM66/K66</f>
        <v>4.1538461538461542</v>
      </c>
    </row>
    <row r="67" spans="1:121">
      <c r="A67" t="s">
        <v>270</v>
      </c>
      <c r="B67" t="s">
        <v>203</v>
      </c>
      <c r="C67">
        <v>34.700000000000003</v>
      </c>
      <c r="D67">
        <v>35.9</v>
      </c>
      <c r="J67" s="3"/>
      <c r="K67">
        <v>300</v>
      </c>
      <c r="M67">
        <v>0.62</v>
      </c>
      <c r="N67">
        <v>6200</v>
      </c>
      <c r="P67"/>
      <c r="AE67"/>
      <c r="AF67"/>
      <c r="AG67"/>
      <c r="AH67"/>
      <c r="AI67"/>
      <c r="AJ67"/>
      <c r="AK67"/>
      <c r="AL67"/>
      <c r="AM67"/>
      <c r="AN67"/>
      <c r="AO67"/>
      <c r="BM67">
        <v>1200</v>
      </c>
      <c r="CI67"/>
      <c r="DD67"/>
      <c r="DE67"/>
      <c r="DK67"/>
      <c r="DP67" s="102"/>
      <c r="DQ67" s="104">
        <f>BM67/K67</f>
        <v>4</v>
      </c>
    </row>
    <row r="68" spans="1:121">
      <c r="A68" t="s">
        <v>270</v>
      </c>
      <c r="B68" t="s">
        <v>203</v>
      </c>
      <c r="C68">
        <v>35.9</v>
      </c>
      <c r="D68">
        <v>36.700000000000003</v>
      </c>
      <c r="E68">
        <v>159</v>
      </c>
      <c r="F68">
        <v>89</v>
      </c>
      <c r="G68">
        <v>1143</v>
      </c>
      <c r="H68">
        <v>333</v>
      </c>
      <c r="I68">
        <v>43</v>
      </c>
      <c r="J68" s="1">
        <v>163</v>
      </c>
      <c r="K68">
        <v>26000</v>
      </c>
      <c r="M68">
        <v>9.8000000000000007</v>
      </c>
      <c r="N68">
        <v>98000</v>
      </c>
      <c r="P68"/>
      <c r="Q68">
        <v>0.153</v>
      </c>
      <c r="AE68"/>
      <c r="AF68"/>
      <c r="AG68"/>
      <c r="AH68"/>
      <c r="AI68"/>
      <c r="AJ68"/>
      <c r="AK68"/>
      <c r="AL68"/>
      <c r="AM68"/>
      <c r="AN68"/>
      <c r="AO68"/>
      <c r="BM68">
        <v>62500</v>
      </c>
      <c r="CI68"/>
      <c r="DD68"/>
      <c r="DE68"/>
      <c r="DK68"/>
      <c r="DP68" s="102">
        <f>G68/F68</f>
        <v>12.842696629213483</v>
      </c>
      <c r="DQ68" s="104">
        <f>BM68/K68</f>
        <v>2.4038461538461537</v>
      </c>
    </row>
    <row r="69" spans="1:121">
      <c r="A69" t="s">
        <v>270</v>
      </c>
      <c r="B69" t="s">
        <v>203</v>
      </c>
      <c r="C69">
        <v>36.700000000000003</v>
      </c>
      <c r="D69">
        <v>37.700000000000003</v>
      </c>
      <c r="E69">
        <v>39</v>
      </c>
      <c r="F69">
        <v>28</v>
      </c>
      <c r="G69">
        <v>669</v>
      </c>
      <c r="H69">
        <v>104</v>
      </c>
      <c r="I69">
        <v>13</v>
      </c>
      <c r="J69" s="1">
        <v>53</v>
      </c>
      <c r="K69">
        <v>5900</v>
      </c>
      <c r="M69">
        <v>3.1</v>
      </c>
      <c r="N69">
        <v>31000</v>
      </c>
      <c r="P69"/>
      <c r="Q69">
        <v>4.4999999999999998E-2</v>
      </c>
      <c r="AE69"/>
      <c r="AF69"/>
      <c r="AG69"/>
      <c r="AH69"/>
      <c r="AI69"/>
      <c r="AJ69"/>
      <c r="AK69"/>
      <c r="AL69"/>
      <c r="AM69"/>
      <c r="AN69"/>
      <c r="AO69"/>
      <c r="BM69">
        <v>15600</v>
      </c>
      <c r="CI69"/>
      <c r="DD69"/>
      <c r="DE69"/>
      <c r="DK69"/>
      <c r="DP69" s="102">
        <f>G69/F69</f>
        <v>23.892857142857142</v>
      </c>
      <c r="DQ69" s="104">
        <f>BM69/K69</f>
        <v>2.6440677966101696</v>
      </c>
    </row>
    <row r="70" spans="1:121">
      <c r="A70" t="s">
        <v>270</v>
      </c>
      <c r="B70" t="s">
        <v>203</v>
      </c>
      <c r="C70">
        <v>37.700000000000003</v>
      </c>
      <c r="D70">
        <v>38.6</v>
      </c>
      <c r="E70">
        <v>20</v>
      </c>
      <c r="F70" s="83">
        <v>4</v>
      </c>
      <c r="G70">
        <v>6</v>
      </c>
      <c r="H70">
        <v>6</v>
      </c>
      <c r="I70">
        <v>2</v>
      </c>
      <c r="J70" s="85">
        <v>4</v>
      </c>
      <c r="K70">
        <v>1100</v>
      </c>
      <c r="M70">
        <v>0.24</v>
      </c>
      <c r="N70">
        <v>2400</v>
      </c>
      <c r="P70" s="83"/>
      <c r="Q70" s="83">
        <v>4.0000000000000001E-3</v>
      </c>
      <c r="R70" s="83"/>
      <c r="S70" s="83"/>
      <c r="AE70"/>
      <c r="AF70"/>
      <c r="AG70"/>
      <c r="AH70"/>
      <c r="AI70"/>
      <c r="AJ70"/>
      <c r="AK70"/>
      <c r="AL70"/>
      <c r="AM70"/>
      <c r="AN70"/>
      <c r="AO70"/>
      <c r="BM70">
        <v>700.00000000000011</v>
      </c>
      <c r="CI70"/>
      <c r="DD70"/>
      <c r="DE70"/>
      <c r="DK70"/>
      <c r="DP70" s="102"/>
      <c r="DQ70" s="104"/>
    </row>
    <row r="71" spans="1:121">
      <c r="A71" t="s">
        <v>270</v>
      </c>
      <c r="B71" t="s">
        <v>203</v>
      </c>
      <c r="C71">
        <v>38.6</v>
      </c>
      <c r="D71">
        <v>39.299999999999997</v>
      </c>
      <c r="E71">
        <v>321</v>
      </c>
      <c r="F71">
        <v>78</v>
      </c>
      <c r="G71">
        <v>3574</v>
      </c>
      <c r="H71">
        <v>575</v>
      </c>
      <c r="I71">
        <v>43</v>
      </c>
      <c r="J71" s="1">
        <v>128</v>
      </c>
      <c r="K71">
        <v>42100</v>
      </c>
      <c r="M71">
        <v>25.4</v>
      </c>
      <c r="N71">
        <v>254000</v>
      </c>
      <c r="P71"/>
      <c r="Q71">
        <v>0.124</v>
      </c>
      <c r="AE71"/>
      <c r="AF71"/>
      <c r="AG71"/>
      <c r="AH71"/>
      <c r="AI71"/>
      <c r="AJ71"/>
      <c r="AK71"/>
      <c r="AL71"/>
      <c r="AM71"/>
      <c r="AN71"/>
      <c r="AO71"/>
      <c r="BM71">
        <v>82000</v>
      </c>
      <c r="CI71"/>
      <c r="DD71"/>
      <c r="DE71"/>
      <c r="DK71"/>
      <c r="DP71" s="102">
        <f>G71/F71</f>
        <v>45.820512820512818</v>
      </c>
      <c r="DQ71" s="104">
        <f>BM71/K71</f>
        <v>1.9477434679334917</v>
      </c>
    </row>
    <row r="72" spans="1:121">
      <c r="A72" t="s">
        <v>270</v>
      </c>
      <c r="B72" t="s">
        <v>203</v>
      </c>
      <c r="C72">
        <v>39.299999999999997</v>
      </c>
      <c r="D72">
        <v>40</v>
      </c>
      <c r="E72">
        <v>498</v>
      </c>
      <c r="F72">
        <v>76</v>
      </c>
      <c r="G72">
        <v>1703</v>
      </c>
      <c r="H72">
        <v>840</v>
      </c>
      <c r="I72">
        <v>50</v>
      </c>
      <c r="J72" s="1">
        <v>124</v>
      </c>
      <c r="K72">
        <v>38100</v>
      </c>
      <c r="M72">
        <v>32.5</v>
      </c>
      <c r="N72">
        <v>325000</v>
      </c>
      <c r="P72"/>
      <c r="Q72">
        <v>0.127</v>
      </c>
      <c r="AE72"/>
      <c r="AF72"/>
      <c r="AG72"/>
      <c r="AH72"/>
      <c r="AI72"/>
      <c r="AJ72"/>
      <c r="AK72"/>
      <c r="AL72"/>
      <c r="AM72"/>
      <c r="AN72"/>
      <c r="AO72"/>
      <c r="BM72">
        <v>95500</v>
      </c>
      <c r="CI72"/>
      <c r="DD72"/>
      <c r="DE72"/>
      <c r="DK72"/>
      <c r="DP72" s="102">
        <f>G72/F72</f>
        <v>22.407894736842106</v>
      </c>
      <c r="DQ72" s="104">
        <f>BM72/K72</f>
        <v>2.5065616797900261</v>
      </c>
    </row>
    <row r="73" spans="1:121">
      <c r="A73" t="s">
        <v>270</v>
      </c>
      <c r="B73" t="s">
        <v>203</v>
      </c>
      <c r="C73">
        <v>40</v>
      </c>
      <c r="D73">
        <v>41.1</v>
      </c>
      <c r="E73">
        <v>24</v>
      </c>
      <c r="F73">
        <v>4</v>
      </c>
      <c r="G73">
        <v>115</v>
      </c>
      <c r="H73">
        <v>16</v>
      </c>
      <c r="I73">
        <v>3</v>
      </c>
      <c r="J73" s="85">
        <v>0.01</v>
      </c>
      <c r="K73">
        <v>800</v>
      </c>
      <c r="M73">
        <v>1.56</v>
      </c>
      <c r="N73">
        <v>15600</v>
      </c>
      <c r="P73"/>
      <c r="Q73">
        <v>8.0000000000000002E-3</v>
      </c>
      <c r="AE73"/>
      <c r="AF73"/>
      <c r="AG73"/>
      <c r="AH73"/>
      <c r="AI73"/>
      <c r="AJ73"/>
      <c r="AK73"/>
      <c r="AL73"/>
      <c r="AM73"/>
      <c r="AN73"/>
      <c r="AO73"/>
      <c r="BM73">
        <v>4300</v>
      </c>
      <c r="CI73"/>
      <c r="DD73"/>
      <c r="DE73"/>
      <c r="DK73"/>
      <c r="DP73" s="102">
        <f>G73/F73</f>
        <v>28.75</v>
      </c>
      <c r="DQ73" s="104">
        <f>BM73/K73</f>
        <v>5.375</v>
      </c>
    </row>
    <row r="74" spans="1:121">
      <c r="A74" t="s">
        <v>270</v>
      </c>
      <c r="B74" t="s">
        <v>203</v>
      </c>
      <c r="C74">
        <v>41.1</v>
      </c>
      <c r="D74">
        <v>41.7</v>
      </c>
      <c r="E74">
        <v>371</v>
      </c>
      <c r="F74">
        <v>127</v>
      </c>
      <c r="G74">
        <v>2768</v>
      </c>
      <c r="H74">
        <v>481</v>
      </c>
      <c r="I74">
        <v>61</v>
      </c>
      <c r="J74" s="1">
        <v>229</v>
      </c>
      <c r="K74">
        <v>35500</v>
      </c>
      <c r="M74">
        <v>31.2</v>
      </c>
      <c r="N74">
        <v>312000</v>
      </c>
      <c r="P74"/>
      <c r="Q74">
        <v>0.222</v>
      </c>
      <c r="AE74"/>
      <c r="AF74"/>
      <c r="AG74"/>
      <c r="AH74"/>
      <c r="AI74"/>
      <c r="AJ74"/>
      <c r="AK74"/>
      <c r="AL74"/>
      <c r="AM74"/>
      <c r="AN74"/>
      <c r="AO74"/>
      <c r="BM74">
        <v>121000</v>
      </c>
      <c r="CI74"/>
      <c r="DD74"/>
      <c r="DE74"/>
      <c r="DK74"/>
      <c r="DP74" s="102">
        <f>G74/F74</f>
        <v>21.795275590551181</v>
      </c>
      <c r="DQ74" s="104">
        <f>BM74/K74</f>
        <v>3.408450704225352</v>
      </c>
    </row>
    <row r="75" spans="1:121" s="36" customFormat="1" ht="15">
      <c r="A75"/>
      <c r="B75"/>
      <c r="C75"/>
      <c r="D75"/>
      <c r="E75"/>
      <c r="G75" s="3"/>
      <c r="H75"/>
      <c r="I75"/>
      <c r="J75"/>
      <c r="K75"/>
      <c r="L75"/>
      <c r="M75"/>
      <c r="N75"/>
      <c r="P75" s="1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 s="3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 s="1"/>
      <c r="DE75" s="1"/>
      <c r="DF75"/>
      <c r="DG75"/>
      <c r="DH75"/>
      <c r="DI75"/>
      <c r="DJ75"/>
      <c r="DK75" s="3"/>
      <c r="DO75" s="103"/>
      <c r="DP75" s="102"/>
      <c r="DQ75" s="104"/>
    </row>
    <row r="76" spans="1:121" s="36" customFormat="1" ht="15">
      <c r="B76"/>
      <c r="G76"/>
      <c r="I76"/>
      <c r="O76" s="37"/>
      <c r="R76"/>
      <c r="T76" s="37"/>
      <c r="AX76"/>
      <c r="DK76" s="37"/>
      <c r="DO76" s="103"/>
      <c r="DP76" s="102"/>
      <c r="DQ76" s="8"/>
    </row>
    <row r="77" spans="1:121" s="36" customFormat="1" ht="15">
      <c r="A77"/>
      <c r="B77"/>
      <c r="G77" t="s">
        <v>46</v>
      </c>
      <c r="I77"/>
      <c r="K77" t="s">
        <v>177</v>
      </c>
      <c r="O77" s="37"/>
      <c r="R77"/>
      <c r="T77" s="37"/>
      <c r="AX77"/>
      <c r="DK77" s="37"/>
      <c r="DO77" s="103"/>
      <c r="DP77" s="102"/>
      <c r="DQ77" s="8"/>
    </row>
    <row r="78" spans="1:121" s="36" customFormat="1" ht="15">
      <c r="A78"/>
      <c r="B78"/>
      <c r="G78"/>
      <c r="I78"/>
      <c r="K78"/>
      <c r="O78" s="37"/>
      <c r="R78"/>
      <c r="T78" s="37"/>
      <c r="AX78"/>
      <c r="DK78" s="37"/>
      <c r="DO78" s="103"/>
      <c r="DP78" s="102"/>
      <c r="DQ78" s="8"/>
    </row>
    <row r="79" spans="1:121" s="36" customFormat="1" ht="15">
      <c r="A79"/>
      <c r="B79"/>
      <c r="G79">
        <v>4.2000000000000003E-2</v>
      </c>
      <c r="I79"/>
      <c r="K79">
        <v>0.1</v>
      </c>
      <c r="O79" s="37"/>
      <c r="R79"/>
      <c r="T79" s="37"/>
      <c r="AX79"/>
      <c r="DK79" s="37"/>
      <c r="DO79" s="103"/>
      <c r="DP79" s="102"/>
      <c r="DQ79" s="8"/>
    </row>
    <row r="80" spans="1:121" s="36" customFormat="1" ht="15">
      <c r="A80"/>
      <c r="B80"/>
      <c r="G80">
        <v>0.7</v>
      </c>
      <c r="I80"/>
      <c r="K80">
        <v>10</v>
      </c>
      <c r="O80" s="37"/>
      <c r="R80"/>
      <c r="T80" s="37"/>
      <c r="AX80"/>
      <c r="DK80" s="37"/>
      <c r="DO80" s="103"/>
      <c r="DP80" s="102"/>
      <c r="DQ80" s="8"/>
    </row>
    <row r="81" spans="1:121" s="36" customFormat="1" ht="15">
      <c r="A81"/>
      <c r="B81"/>
      <c r="G81">
        <v>50</v>
      </c>
      <c r="I81"/>
      <c r="K81">
        <v>10000</v>
      </c>
      <c r="O81" s="37"/>
      <c r="R81"/>
      <c r="T81" s="37"/>
      <c r="AX81"/>
      <c r="DK81" s="37"/>
      <c r="DO81" s="103"/>
      <c r="DP81" s="102"/>
      <c r="DQ81" s="8"/>
    </row>
    <row r="82" spans="1:121" ht="15">
      <c r="D82" s="36"/>
      <c r="E82" s="36"/>
      <c r="F82" s="36"/>
      <c r="G82">
        <v>210</v>
      </c>
      <c r="H82" s="36"/>
      <c r="J82" s="36"/>
      <c r="K82">
        <v>100000</v>
      </c>
      <c r="L82" s="36"/>
      <c r="M82" s="36"/>
      <c r="N82" s="36"/>
      <c r="O82" s="37"/>
      <c r="P82" s="36"/>
      <c r="Q82" s="36"/>
      <c r="S82" s="36"/>
      <c r="T82" s="37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7"/>
      <c r="DP82" s="102"/>
      <c r="DQ82" s="8"/>
    </row>
    <row r="83" spans="1:121" ht="15">
      <c r="D83" s="36"/>
      <c r="E83" s="36"/>
      <c r="F83" s="36"/>
      <c r="G83">
        <v>800</v>
      </c>
      <c r="H83" s="36"/>
      <c r="J83" s="36"/>
      <c r="K83">
        <v>1000000</v>
      </c>
      <c r="L83" s="36"/>
      <c r="M83" s="36"/>
      <c r="N83" s="36"/>
      <c r="O83" s="37"/>
      <c r="P83" s="36"/>
      <c r="Q83" s="36"/>
      <c r="S83" s="36"/>
      <c r="T83" s="37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7"/>
      <c r="DP83" s="102"/>
      <c r="DQ83" s="8"/>
    </row>
    <row r="84" spans="1:121" ht="15">
      <c r="D84" s="36"/>
      <c r="E84" s="36"/>
      <c r="F84" s="36"/>
      <c r="H84" s="36"/>
      <c r="J84" s="36"/>
      <c r="L84" s="36"/>
      <c r="M84" s="36"/>
      <c r="N84" s="36"/>
      <c r="O84" s="37"/>
      <c r="P84" s="36"/>
      <c r="Q84" s="36"/>
      <c r="S84" s="36"/>
      <c r="T84" s="37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7"/>
    </row>
    <row r="85" spans="1:121" ht="15">
      <c r="A85" t="s">
        <v>254</v>
      </c>
      <c r="D85" s="36"/>
      <c r="E85" s="36"/>
      <c r="F85" s="36"/>
      <c r="G85">
        <v>0.83</v>
      </c>
      <c r="H85" s="36"/>
      <c r="J85" s="36"/>
      <c r="K85">
        <v>69</v>
      </c>
      <c r="L85" s="36"/>
      <c r="M85" s="36"/>
      <c r="N85" s="36"/>
      <c r="O85" s="37"/>
      <c r="P85" s="36"/>
      <c r="Q85" s="36"/>
      <c r="S85" s="36"/>
      <c r="T85" s="3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7"/>
    </row>
    <row r="86" spans="1:121" ht="15">
      <c r="D86" s="36"/>
      <c r="E86" s="36"/>
      <c r="F86" s="36"/>
      <c r="G86" s="36"/>
      <c r="H86" s="36"/>
      <c r="J86" s="36"/>
      <c r="K86" s="36"/>
      <c r="L86" s="36"/>
      <c r="M86" s="36"/>
      <c r="N86" s="36"/>
      <c r="O86" s="37"/>
      <c r="P86" s="36"/>
      <c r="Q86" s="36"/>
      <c r="S86" s="36"/>
      <c r="T86" s="3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7"/>
    </row>
    <row r="87" spans="1:121" ht="15">
      <c r="A87" s="36"/>
      <c r="C87" s="36"/>
      <c r="D87" s="36"/>
      <c r="E87" s="36"/>
      <c r="F87" s="36"/>
      <c r="G87" s="36"/>
      <c r="H87" s="36"/>
      <c r="J87" s="36"/>
      <c r="K87" s="36"/>
      <c r="L87" s="36"/>
      <c r="M87" s="36"/>
      <c r="N87" s="36"/>
      <c r="O87" s="37"/>
      <c r="P87" s="36"/>
      <c r="Q87" s="36"/>
      <c r="S87" s="36"/>
      <c r="T87" s="3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7"/>
    </row>
    <row r="88" spans="1:121" ht="15">
      <c r="A88" s="36" t="s">
        <v>271</v>
      </c>
      <c r="C88" s="36">
        <v>300</v>
      </c>
      <c r="D88" s="36"/>
      <c r="E88" s="36"/>
      <c r="F88" s="36"/>
      <c r="G88" s="36"/>
      <c r="H88" s="36"/>
      <c r="J88" s="36"/>
      <c r="K88" s="36"/>
      <c r="L88" s="36"/>
      <c r="M88" s="36"/>
      <c r="N88" s="36"/>
      <c r="O88" s="37"/>
      <c r="Q88" s="36"/>
      <c r="S88" s="36"/>
      <c r="T88" s="3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7"/>
      <c r="DO88" s="60">
        <v>7690</v>
      </c>
    </row>
    <row r="89" spans="1:121" ht="15">
      <c r="A89" s="36"/>
      <c r="C89" s="36">
        <v>400</v>
      </c>
      <c r="D89" s="36"/>
      <c r="E89" s="36"/>
      <c r="F89" s="36"/>
      <c r="G89" s="36"/>
      <c r="H89" s="36"/>
      <c r="J89" s="36"/>
      <c r="K89" s="36"/>
      <c r="L89" s="36"/>
      <c r="M89" s="36"/>
      <c r="N89" s="36"/>
      <c r="O89" s="37"/>
      <c r="Q89" s="36"/>
      <c r="S89" s="36"/>
      <c r="T89" s="3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7"/>
      <c r="DO89" s="60">
        <v>7690</v>
      </c>
    </row>
    <row r="90" spans="1:121" ht="15">
      <c r="A90" s="38"/>
      <c r="C90" s="36"/>
      <c r="D90" s="36"/>
      <c r="E90" s="36"/>
      <c r="F90" s="36"/>
      <c r="G90" s="36"/>
      <c r="H90" s="36"/>
      <c r="J90" s="36"/>
      <c r="K90" s="36"/>
      <c r="L90" s="36"/>
      <c r="M90" s="36"/>
      <c r="N90" s="36"/>
      <c r="O90" s="37"/>
      <c r="P90" s="36"/>
      <c r="Q90" s="36"/>
      <c r="S90" s="36"/>
      <c r="T90" s="3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7"/>
    </row>
    <row r="91" spans="1:121" s="106" customFormat="1" ht="15">
      <c r="A91" s="105"/>
      <c r="C91" s="107">
        <v>160</v>
      </c>
      <c r="D91" s="107"/>
      <c r="E91" s="107"/>
      <c r="F91" s="107"/>
      <c r="G91" s="107"/>
      <c r="H91" s="107"/>
      <c r="J91" s="107"/>
      <c r="K91" s="107"/>
      <c r="L91" s="107"/>
      <c r="M91" s="107"/>
      <c r="N91" s="107"/>
      <c r="O91" s="108"/>
      <c r="P91" s="107">
        <v>2500</v>
      </c>
      <c r="Q91" s="107"/>
      <c r="S91" s="107"/>
      <c r="T91" s="108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>
        <v>0</v>
      </c>
      <c r="DI91" s="107"/>
      <c r="DJ91" s="107"/>
      <c r="DK91" s="108"/>
      <c r="DO91" s="109"/>
      <c r="DP91" s="109"/>
    </row>
    <row r="92" spans="1:121" s="106" customFormat="1" ht="15">
      <c r="A92" s="105"/>
      <c r="C92" s="107">
        <v>180</v>
      </c>
      <c r="D92" s="107"/>
      <c r="E92" s="107"/>
      <c r="F92" s="107"/>
      <c r="G92" s="107"/>
      <c r="H92" s="107"/>
      <c r="J92" s="107"/>
      <c r="K92" s="107"/>
      <c r="L92" s="107"/>
      <c r="M92" s="107"/>
      <c r="N92" s="107"/>
      <c r="O92" s="108"/>
      <c r="P92" s="107">
        <v>2500</v>
      </c>
      <c r="Q92" s="107"/>
      <c r="S92" s="107"/>
      <c r="T92" s="108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>
        <v>40</v>
      </c>
      <c r="DI92" s="107"/>
      <c r="DJ92" s="107"/>
      <c r="DK92" s="108"/>
      <c r="DO92" s="109"/>
      <c r="DP92" s="109"/>
    </row>
    <row r="93" spans="1:121" ht="15">
      <c r="A93" s="38"/>
      <c r="C93" s="36"/>
      <c r="D93" s="36"/>
      <c r="E93" s="36"/>
      <c r="F93" s="36"/>
      <c r="G93" s="36"/>
      <c r="H93" s="36"/>
      <c r="J93" s="36"/>
      <c r="K93" s="36"/>
      <c r="L93" s="36"/>
      <c r="M93" s="36"/>
      <c r="N93" s="36"/>
      <c r="O93" s="37"/>
      <c r="P93" s="36"/>
      <c r="Q93" s="36"/>
      <c r="S93" s="36"/>
      <c r="T93" s="3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7"/>
    </row>
    <row r="94" spans="1:121" ht="15">
      <c r="A94" s="38"/>
      <c r="C94" s="36"/>
      <c r="D94" s="36"/>
      <c r="E94" s="36"/>
      <c r="F94" s="36"/>
      <c r="G94" s="36"/>
      <c r="H94" s="36"/>
      <c r="J94" s="36"/>
      <c r="K94" s="36"/>
      <c r="L94" s="36"/>
      <c r="M94" s="36"/>
      <c r="N94" s="36"/>
      <c r="O94" s="37"/>
      <c r="P94" s="36"/>
      <c r="Q94" s="36"/>
      <c r="S94" s="36"/>
      <c r="T94" s="3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7"/>
    </row>
    <row r="95" spans="1:121" ht="15">
      <c r="A95" s="38"/>
      <c r="C95" s="36"/>
      <c r="D95" s="36"/>
      <c r="E95" s="36"/>
      <c r="F95" s="36"/>
      <c r="G95" s="36"/>
      <c r="H95" s="36"/>
      <c r="J95" s="36"/>
      <c r="K95" s="36"/>
      <c r="L95" s="36"/>
      <c r="M95" s="36"/>
      <c r="N95" s="36"/>
      <c r="O95" s="37"/>
      <c r="P95" s="36"/>
      <c r="Q95" s="36"/>
      <c r="S95" s="36"/>
      <c r="T95" s="3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7"/>
    </row>
    <row r="96" spans="1:121" ht="15">
      <c r="A96" s="38"/>
      <c r="C96" s="36"/>
      <c r="D96" s="36"/>
      <c r="E96" s="36"/>
      <c r="F96" s="36"/>
      <c r="G96" s="36"/>
      <c r="H96" s="36"/>
      <c r="J96" s="36"/>
      <c r="K96" s="36"/>
      <c r="L96" s="36"/>
      <c r="M96" s="36"/>
      <c r="N96" s="36"/>
      <c r="O96" s="37"/>
      <c r="P96" s="36"/>
      <c r="Q96" s="36"/>
      <c r="S96" s="36"/>
      <c r="T96" s="3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7"/>
    </row>
    <row r="97" spans="1:115" ht="15">
      <c r="A97" s="38"/>
      <c r="C97" s="36"/>
      <c r="D97" s="36"/>
      <c r="E97" s="36"/>
      <c r="F97" s="36"/>
      <c r="G97" s="36"/>
      <c r="H97" s="36"/>
      <c r="J97" s="36"/>
      <c r="K97" s="36"/>
      <c r="L97" s="36"/>
      <c r="M97" s="36"/>
      <c r="N97" s="36"/>
      <c r="O97" s="37"/>
      <c r="P97" s="36"/>
      <c r="Q97" s="36"/>
      <c r="S97" s="36"/>
      <c r="T97" s="3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7"/>
    </row>
    <row r="98" spans="1:115" ht="15">
      <c r="A98" s="38"/>
      <c r="C98" s="36"/>
      <c r="D98" s="36"/>
      <c r="E98" s="36"/>
      <c r="F98" s="36"/>
      <c r="G98" s="36"/>
      <c r="H98" s="36"/>
      <c r="J98" s="36"/>
      <c r="K98" s="36"/>
      <c r="L98" s="36"/>
      <c r="M98" s="36"/>
      <c r="N98" s="36"/>
      <c r="O98" s="37"/>
      <c r="P98" s="36"/>
      <c r="Q98" s="36"/>
      <c r="S98" s="36"/>
      <c r="T98" s="3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7"/>
    </row>
    <row r="99" spans="1:115" ht="15">
      <c r="A99" s="38"/>
      <c r="C99" s="36"/>
      <c r="D99" s="36"/>
      <c r="E99" s="36"/>
      <c r="F99" s="36"/>
      <c r="G99" s="36"/>
      <c r="H99" s="36"/>
      <c r="J99" s="36"/>
      <c r="K99" s="36"/>
      <c r="L99" s="36"/>
      <c r="M99" s="36"/>
      <c r="N99" s="36"/>
      <c r="O99" s="37"/>
      <c r="P99" s="36"/>
      <c r="Q99" s="36"/>
      <c r="S99" s="36"/>
      <c r="T99" s="3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7"/>
    </row>
    <row r="100" spans="1:115" ht="15">
      <c r="A100" s="38"/>
      <c r="C100" s="36"/>
      <c r="D100" s="36"/>
      <c r="E100" s="36"/>
      <c r="F100" s="36"/>
      <c r="G100" s="36"/>
      <c r="H100" s="36"/>
      <c r="J100" s="36"/>
      <c r="K100" s="36"/>
      <c r="L100" s="36"/>
      <c r="M100" s="36"/>
      <c r="N100" s="36"/>
      <c r="O100" s="37"/>
      <c r="P100" s="36"/>
      <c r="Q100" s="36"/>
      <c r="S100" s="36"/>
      <c r="T100" s="3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7"/>
    </row>
    <row r="101" spans="1:115" ht="15">
      <c r="A101" s="38"/>
      <c r="C101" s="36"/>
      <c r="D101" s="36"/>
      <c r="E101" s="36"/>
      <c r="F101" s="36"/>
      <c r="G101" s="36"/>
      <c r="H101" s="36"/>
      <c r="J101" s="36"/>
      <c r="K101" s="36"/>
      <c r="L101" s="36"/>
      <c r="M101" s="36"/>
      <c r="N101" s="36"/>
      <c r="O101" s="37"/>
      <c r="P101" s="36"/>
      <c r="Q101" s="36"/>
      <c r="S101" s="36"/>
      <c r="T101" s="3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7"/>
    </row>
    <row r="102" spans="1:115" ht="15">
      <c r="A102" s="38"/>
      <c r="C102" s="36"/>
      <c r="D102" s="36"/>
      <c r="E102" s="36"/>
      <c r="F102" s="36"/>
      <c r="G102" s="36"/>
      <c r="H102" s="36"/>
      <c r="J102" s="36"/>
      <c r="K102" s="36"/>
      <c r="L102" s="36"/>
      <c r="M102" s="36"/>
      <c r="N102" s="36"/>
      <c r="O102" s="37"/>
      <c r="P102" s="36"/>
      <c r="Q102" s="36"/>
      <c r="S102" s="36"/>
      <c r="T102" s="3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7"/>
    </row>
    <row r="103" spans="1:115" ht="15">
      <c r="A103" s="38"/>
      <c r="C103" s="36"/>
      <c r="D103" s="36"/>
      <c r="E103" s="36"/>
      <c r="F103" s="36"/>
      <c r="G103" s="36"/>
      <c r="H103" s="36"/>
      <c r="J103" s="36"/>
      <c r="K103" s="36"/>
      <c r="L103" s="36"/>
      <c r="M103" s="36"/>
      <c r="N103" s="36"/>
      <c r="O103" s="37"/>
      <c r="P103" s="36"/>
      <c r="Q103" s="36"/>
      <c r="S103" s="36"/>
      <c r="T103" s="3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7"/>
    </row>
    <row r="104" spans="1:115" ht="15">
      <c r="A104" s="38"/>
      <c r="C104" s="36"/>
      <c r="D104" s="36"/>
      <c r="E104" s="36"/>
      <c r="F104" s="36"/>
      <c r="G104" s="36"/>
      <c r="H104" s="36"/>
      <c r="J104" s="36"/>
      <c r="K104" s="36"/>
      <c r="L104" s="36"/>
      <c r="M104" s="36"/>
      <c r="N104" s="36"/>
      <c r="O104" s="37"/>
      <c r="P104" s="36"/>
      <c r="Q104" s="36"/>
      <c r="S104" s="36"/>
      <c r="T104" s="3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7"/>
    </row>
    <row r="105" spans="1:115" ht="15">
      <c r="A105" s="38"/>
      <c r="C105" s="36"/>
      <c r="D105" s="36"/>
      <c r="E105" s="36"/>
      <c r="F105" s="36"/>
      <c r="G105" s="36"/>
      <c r="H105" s="36"/>
      <c r="J105" s="36"/>
      <c r="K105" s="36"/>
      <c r="L105" s="36"/>
      <c r="M105" s="36"/>
      <c r="N105" s="36"/>
      <c r="O105" s="37"/>
      <c r="P105" s="36"/>
      <c r="Q105" s="36"/>
      <c r="S105" s="36"/>
      <c r="T105" s="3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7"/>
    </row>
    <row r="106" spans="1:115" ht="15">
      <c r="A106" s="38"/>
      <c r="C106" s="36"/>
      <c r="D106" s="36"/>
      <c r="E106" s="36"/>
      <c r="F106" s="36"/>
      <c r="G106" s="36"/>
      <c r="H106" s="36"/>
      <c r="J106" s="36"/>
      <c r="K106" s="36"/>
      <c r="L106" s="36"/>
      <c r="M106" s="36"/>
      <c r="N106" s="36"/>
      <c r="O106" s="37"/>
      <c r="P106" s="36"/>
      <c r="Q106" s="36"/>
      <c r="S106" s="36"/>
      <c r="T106" s="3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7"/>
    </row>
    <row r="107" spans="1:115" ht="15">
      <c r="A107" s="38"/>
      <c r="C107" s="36"/>
      <c r="D107" s="36"/>
      <c r="E107" s="36"/>
      <c r="F107" s="36"/>
      <c r="G107" s="36"/>
      <c r="H107" s="36"/>
      <c r="J107" s="36"/>
      <c r="K107" s="36"/>
      <c r="L107" s="36"/>
      <c r="M107" s="36"/>
      <c r="N107" s="36"/>
      <c r="O107" s="37"/>
      <c r="P107" s="36"/>
      <c r="Q107" s="36"/>
      <c r="S107" s="36"/>
      <c r="T107" s="3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7"/>
    </row>
    <row r="108" spans="1:115" ht="15">
      <c r="A108" s="38"/>
      <c r="C108" s="36"/>
      <c r="D108" s="36"/>
      <c r="E108" s="36"/>
      <c r="F108" s="36"/>
      <c r="G108" s="36"/>
      <c r="H108" s="36"/>
      <c r="J108" s="36"/>
      <c r="K108" s="36"/>
      <c r="L108" s="36"/>
      <c r="M108" s="36"/>
      <c r="N108" s="36"/>
      <c r="O108" s="37"/>
      <c r="P108" s="36"/>
      <c r="Q108" s="36"/>
      <c r="S108" s="36"/>
      <c r="T108" s="3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7"/>
    </row>
    <row r="109" spans="1:115" ht="15">
      <c r="A109" s="38"/>
      <c r="C109" s="36"/>
      <c r="D109" s="36"/>
      <c r="E109" s="36"/>
      <c r="F109" s="36"/>
      <c r="G109" s="36"/>
      <c r="H109" s="36"/>
      <c r="J109" s="36"/>
      <c r="K109" s="36"/>
      <c r="L109" s="36"/>
      <c r="M109" s="36"/>
      <c r="N109" s="36"/>
      <c r="O109" s="37"/>
      <c r="P109" s="36"/>
      <c r="Q109" s="36"/>
      <c r="S109" s="36"/>
      <c r="T109" s="3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7"/>
    </row>
    <row r="110" spans="1:115" ht="15">
      <c r="A110" s="38"/>
      <c r="C110" s="36"/>
      <c r="D110" s="36"/>
      <c r="E110" s="36"/>
      <c r="F110" s="36"/>
      <c r="G110" s="36"/>
      <c r="H110" s="36"/>
      <c r="J110" s="36"/>
      <c r="K110" s="36"/>
      <c r="L110" s="36"/>
      <c r="M110" s="36"/>
      <c r="N110" s="36"/>
      <c r="O110" s="37"/>
      <c r="P110" s="36"/>
      <c r="Q110" s="36"/>
      <c r="S110" s="36"/>
      <c r="T110" s="3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7"/>
    </row>
    <row r="111" spans="1:115" ht="15">
      <c r="A111" s="38"/>
      <c r="C111" s="36"/>
      <c r="D111" s="36"/>
      <c r="E111" s="36"/>
      <c r="F111" s="36"/>
      <c r="G111" s="36"/>
      <c r="H111" s="36"/>
      <c r="J111" s="36"/>
      <c r="K111" s="36"/>
      <c r="L111" s="36"/>
      <c r="M111" s="36"/>
      <c r="N111" s="36"/>
      <c r="O111" s="37"/>
      <c r="P111" s="36"/>
      <c r="Q111" s="36"/>
      <c r="S111" s="36"/>
      <c r="T111" s="3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7"/>
    </row>
  </sheetData>
  <phoneticPr fontId="2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3" sqref="B3:B11"/>
    </sheetView>
  </sheetViews>
  <sheetFormatPr baseColWidth="10" defaultRowHeight="13" x14ac:dyDescent="0"/>
  <sheetData>
    <row r="3" spans="1:3">
      <c r="B3" t="s">
        <v>177</v>
      </c>
      <c r="C3" t="s">
        <v>46</v>
      </c>
    </row>
    <row r="5" spans="1:3">
      <c r="B5">
        <v>0.1</v>
      </c>
      <c r="C5">
        <v>4.2000000000000003E-2</v>
      </c>
    </row>
    <row r="6" spans="1:3">
      <c r="B6">
        <v>10</v>
      </c>
      <c r="C6">
        <v>0.7</v>
      </c>
    </row>
    <row r="7" spans="1:3">
      <c r="B7">
        <v>10000</v>
      </c>
      <c r="C7">
        <v>50</v>
      </c>
    </row>
    <row r="8" spans="1:3">
      <c r="B8">
        <v>100000</v>
      </c>
      <c r="C8">
        <v>210</v>
      </c>
    </row>
    <row r="9" spans="1:3">
      <c r="B9">
        <v>1000000</v>
      </c>
      <c r="C9">
        <v>800</v>
      </c>
    </row>
    <row r="11" spans="1:3">
      <c r="A11" t="s">
        <v>254</v>
      </c>
      <c r="B11">
        <v>69</v>
      </c>
      <c r="C11">
        <v>0.83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opLeftCell="DE20" workbookViewId="0">
      <selection activeCell="A28" sqref="A28:XFD40"/>
    </sheetView>
  </sheetViews>
  <sheetFormatPr baseColWidth="10" defaultRowHeight="13" x14ac:dyDescent="0"/>
  <sheetData>
    <row r="2" spans="1:8">
      <c r="A2" t="s">
        <v>83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101</v>
      </c>
    </row>
    <row r="4" spans="1:8">
      <c r="A4">
        <v>64.099999999999994</v>
      </c>
      <c r="C4">
        <v>4.2</v>
      </c>
      <c r="D4">
        <v>6.7</v>
      </c>
      <c r="E4">
        <v>1.1399999999999999</v>
      </c>
      <c r="H4" s="3">
        <f>C4/E4</f>
        <v>3.6842105263157898</v>
      </c>
    </row>
    <row r="5" spans="1:8" s="81" customFormat="1">
      <c r="A5" s="81">
        <v>64.7</v>
      </c>
      <c r="C5" s="81">
        <v>10.3</v>
      </c>
      <c r="D5" s="81">
        <v>23.9</v>
      </c>
      <c r="E5" s="81">
        <v>2.95</v>
      </c>
      <c r="H5" s="84">
        <f t="shared" ref="H5:H22" si="0">C5/E5</f>
        <v>3.4915254237288136</v>
      </c>
    </row>
    <row r="6" spans="1:8">
      <c r="A6">
        <v>65.3</v>
      </c>
      <c r="C6">
        <v>1.54</v>
      </c>
      <c r="D6">
        <v>4.7</v>
      </c>
      <c r="E6">
        <v>2</v>
      </c>
      <c r="H6" s="3">
        <f t="shared" si="0"/>
        <v>0.77</v>
      </c>
    </row>
    <row r="7" spans="1:8">
      <c r="A7">
        <v>65.599999999999994</v>
      </c>
      <c r="C7">
        <v>6.0000000000000001E-3</v>
      </c>
      <c r="D7">
        <v>0.26</v>
      </c>
      <c r="E7">
        <v>0.02</v>
      </c>
      <c r="H7" s="3">
        <f t="shared" si="0"/>
        <v>0.3</v>
      </c>
    </row>
    <row r="8" spans="1:8">
      <c r="A8">
        <v>66.099999999999994</v>
      </c>
      <c r="C8">
        <v>0.45</v>
      </c>
      <c r="D8">
        <v>1.38</v>
      </c>
      <c r="E8">
        <v>0.64</v>
      </c>
      <c r="H8" s="3">
        <f t="shared" si="0"/>
        <v>0.703125</v>
      </c>
    </row>
    <row r="9" spans="1:8">
      <c r="A9">
        <v>66.599999999999994</v>
      </c>
      <c r="C9">
        <v>0.06</v>
      </c>
      <c r="D9">
        <v>0.79</v>
      </c>
      <c r="E9">
        <v>0.06</v>
      </c>
      <c r="H9" s="3">
        <f t="shared" si="0"/>
        <v>1</v>
      </c>
    </row>
    <row r="10" spans="1:8">
      <c r="A10">
        <v>67.599999999999994</v>
      </c>
      <c r="C10">
        <v>0.03</v>
      </c>
      <c r="D10">
        <v>0.35</v>
      </c>
      <c r="E10">
        <v>0.01</v>
      </c>
      <c r="H10" s="3">
        <f t="shared" si="0"/>
        <v>3</v>
      </c>
    </row>
    <row r="11" spans="1:8">
      <c r="A11">
        <v>68.7</v>
      </c>
      <c r="C11">
        <v>0.12</v>
      </c>
      <c r="D11">
        <v>1.01</v>
      </c>
      <c r="E11">
        <v>0.18</v>
      </c>
      <c r="H11" s="3">
        <f t="shared" si="0"/>
        <v>0.66666666666666663</v>
      </c>
    </row>
    <row r="12" spans="1:8">
      <c r="A12">
        <v>69</v>
      </c>
      <c r="C12">
        <v>1.03</v>
      </c>
      <c r="D12">
        <v>1.7</v>
      </c>
      <c r="E12">
        <v>0.49</v>
      </c>
      <c r="H12" s="3">
        <f t="shared" si="0"/>
        <v>2.1020408163265305</v>
      </c>
    </row>
    <row r="13" spans="1:8" s="81" customFormat="1">
      <c r="A13" s="81">
        <v>69.3</v>
      </c>
      <c r="C13" s="81">
        <v>8.5</v>
      </c>
      <c r="D13" s="81">
        <v>32.4</v>
      </c>
      <c r="E13" s="81">
        <v>1.76</v>
      </c>
      <c r="H13" s="84">
        <f t="shared" si="0"/>
        <v>4.8295454545454541</v>
      </c>
    </row>
    <row r="14" spans="1:8">
      <c r="A14">
        <v>69.5</v>
      </c>
      <c r="C14">
        <v>0.34</v>
      </c>
      <c r="D14">
        <v>0.98</v>
      </c>
      <c r="E14">
        <v>0.05</v>
      </c>
      <c r="H14" s="3">
        <f t="shared" si="0"/>
        <v>6.8</v>
      </c>
    </row>
    <row r="15" spans="1:8">
      <c r="A15">
        <v>69.900000000000006</v>
      </c>
      <c r="C15">
        <v>0.05</v>
      </c>
      <c r="D15">
        <v>0.34</v>
      </c>
      <c r="E15">
        <v>0.03</v>
      </c>
      <c r="H15" s="3">
        <f t="shared" si="0"/>
        <v>1.6666666666666667</v>
      </c>
    </row>
    <row r="16" spans="1:8">
      <c r="A16">
        <v>70.900000000000006</v>
      </c>
      <c r="C16">
        <v>0.01</v>
      </c>
      <c r="D16">
        <v>0.24</v>
      </c>
      <c r="E16">
        <v>0.01</v>
      </c>
      <c r="H16" s="3">
        <f t="shared" si="0"/>
        <v>1</v>
      </c>
    </row>
    <row r="17" spans="1:17">
      <c r="A17">
        <v>72</v>
      </c>
      <c r="C17">
        <v>0.03</v>
      </c>
      <c r="D17">
        <v>5.2</v>
      </c>
      <c r="E17">
        <v>0.04</v>
      </c>
      <c r="H17" s="3">
        <f t="shared" si="0"/>
        <v>0.75</v>
      </c>
    </row>
    <row r="18" spans="1:17">
      <c r="A18">
        <v>72.400000000000006</v>
      </c>
      <c r="C18">
        <v>0.01</v>
      </c>
      <c r="D18">
        <v>0.4</v>
      </c>
      <c r="E18">
        <v>0.01</v>
      </c>
      <c r="H18" s="3">
        <f t="shared" si="0"/>
        <v>1</v>
      </c>
    </row>
    <row r="19" spans="1:17">
      <c r="A19">
        <v>73.400000000000006</v>
      </c>
      <c r="C19">
        <v>0.01</v>
      </c>
      <c r="D19">
        <v>0.35</v>
      </c>
      <c r="E19" s="83">
        <v>2E-3</v>
      </c>
      <c r="H19" s="3">
        <f t="shared" si="0"/>
        <v>5</v>
      </c>
    </row>
    <row r="20" spans="1:17">
      <c r="A20">
        <v>74.400000000000006</v>
      </c>
      <c r="C20">
        <v>0.4</v>
      </c>
      <c r="D20">
        <v>1.1399999999999999</v>
      </c>
      <c r="E20">
        <v>0.28000000000000003</v>
      </c>
      <c r="H20" s="3">
        <f t="shared" si="0"/>
        <v>1.4285714285714286</v>
      </c>
    </row>
    <row r="21" spans="1:17" s="81" customFormat="1">
      <c r="A21" s="81">
        <v>74.5</v>
      </c>
      <c r="C21" s="81">
        <v>8.0500000000000007</v>
      </c>
      <c r="D21" s="81">
        <v>28.4</v>
      </c>
      <c r="E21" s="81">
        <v>6.45</v>
      </c>
      <c r="H21" s="84">
        <f t="shared" si="0"/>
        <v>1.248062015503876</v>
      </c>
    </row>
    <row r="22" spans="1:17">
      <c r="A22">
        <v>75</v>
      </c>
      <c r="C22">
        <v>1.46</v>
      </c>
      <c r="D22">
        <v>3.45</v>
      </c>
      <c r="E22">
        <v>0.55000000000000004</v>
      </c>
      <c r="H22" s="3">
        <f t="shared" si="0"/>
        <v>2.6545454545454543</v>
      </c>
    </row>
    <row r="25" spans="1:17">
      <c r="C25">
        <v>382.62</v>
      </c>
      <c r="D25">
        <v>26</v>
      </c>
      <c r="E25">
        <f>C25*D25</f>
        <v>9948.1200000000008</v>
      </c>
    </row>
    <row r="28" spans="1:17">
      <c r="A28" t="s">
        <v>255</v>
      </c>
    </row>
    <row r="30" spans="1:17">
      <c r="A30" t="s">
        <v>83</v>
      </c>
      <c r="B30" t="s">
        <v>84</v>
      </c>
      <c r="C30" t="s">
        <v>256</v>
      </c>
      <c r="D30" t="s">
        <v>257</v>
      </c>
      <c r="E30" t="s">
        <v>258</v>
      </c>
      <c r="F30" t="s">
        <v>267</v>
      </c>
      <c r="H30" t="s">
        <v>101</v>
      </c>
      <c r="J30" t="s">
        <v>259</v>
      </c>
      <c r="K30" t="s">
        <v>262</v>
      </c>
      <c r="L30" t="s">
        <v>263</v>
      </c>
      <c r="M30" t="s">
        <v>268</v>
      </c>
      <c r="N30" t="s">
        <v>264</v>
      </c>
      <c r="O30" t="s">
        <v>97</v>
      </c>
      <c r="P30" t="s">
        <v>48</v>
      </c>
      <c r="Q30" t="s">
        <v>261</v>
      </c>
    </row>
    <row r="31" spans="1:17">
      <c r="A31">
        <v>32.4</v>
      </c>
      <c r="B31">
        <v>33.5</v>
      </c>
      <c r="C31">
        <v>0.15</v>
      </c>
      <c r="D31">
        <v>1.48</v>
      </c>
      <c r="E31">
        <v>0.05</v>
      </c>
      <c r="F31">
        <f>10000*E31</f>
        <v>500</v>
      </c>
      <c r="H31" s="3">
        <f>C31/E31</f>
        <v>2.9999999999999996</v>
      </c>
    </row>
    <row r="32" spans="1:17">
      <c r="A32">
        <v>33.5</v>
      </c>
      <c r="B32">
        <v>34.700000000000003</v>
      </c>
      <c r="C32">
        <v>0.54</v>
      </c>
      <c r="D32">
        <v>1.48</v>
      </c>
      <c r="E32">
        <v>0.13</v>
      </c>
      <c r="F32">
        <f t="shared" ref="F32:F40" si="1">10000*E32</f>
        <v>1300</v>
      </c>
      <c r="H32" s="3">
        <f t="shared" ref="H32:H40" si="2">C32/E32</f>
        <v>4.1538461538461542</v>
      </c>
    </row>
    <row r="33" spans="1:17">
      <c r="A33">
        <v>34.700000000000003</v>
      </c>
      <c r="B33">
        <v>35.9</v>
      </c>
      <c r="C33">
        <v>0.12</v>
      </c>
      <c r="D33">
        <v>0.62</v>
      </c>
      <c r="E33">
        <v>0.03</v>
      </c>
      <c r="F33">
        <f t="shared" si="1"/>
        <v>300</v>
      </c>
      <c r="H33" s="3">
        <f t="shared" si="2"/>
        <v>4</v>
      </c>
    </row>
    <row r="34" spans="1:17">
      <c r="A34">
        <v>35.9</v>
      </c>
      <c r="B34">
        <v>36.700000000000003</v>
      </c>
      <c r="C34">
        <v>6.25</v>
      </c>
      <c r="D34">
        <v>9.8000000000000007</v>
      </c>
      <c r="E34">
        <v>2.6</v>
      </c>
      <c r="F34">
        <f t="shared" si="1"/>
        <v>26000</v>
      </c>
      <c r="H34" s="3">
        <f t="shared" si="2"/>
        <v>2.4038461538461537</v>
      </c>
      <c r="J34">
        <v>0.159</v>
      </c>
      <c r="K34">
        <v>0.33300000000000002</v>
      </c>
      <c r="L34">
        <v>1.143</v>
      </c>
      <c r="M34">
        <f>1000*L34</f>
        <v>1143</v>
      </c>
      <c r="N34">
        <v>8.8999999999999996E-2</v>
      </c>
      <c r="O34">
        <v>0.153</v>
      </c>
      <c r="P34">
        <v>4.2999999999999997E-2</v>
      </c>
      <c r="Q34">
        <v>0.16300000000000001</v>
      </c>
    </row>
    <row r="35" spans="1:17">
      <c r="A35">
        <v>36.700000000000003</v>
      </c>
      <c r="B35">
        <v>37.700000000000003</v>
      </c>
      <c r="C35">
        <v>1.56</v>
      </c>
      <c r="D35">
        <v>3.1</v>
      </c>
      <c r="E35">
        <v>0.59</v>
      </c>
      <c r="F35">
        <f t="shared" si="1"/>
        <v>5900</v>
      </c>
      <c r="H35" s="3">
        <f t="shared" si="2"/>
        <v>2.6440677966101696</v>
      </c>
      <c r="J35">
        <v>3.9E-2</v>
      </c>
      <c r="K35">
        <v>0.104</v>
      </c>
      <c r="L35">
        <v>0.66900000000000004</v>
      </c>
      <c r="M35">
        <f t="shared" ref="M35:M40" si="3">1000*L35</f>
        <v>669</v>
      </c>
      <c r="N35">
        <v>2.8000000000000001E-2</v>
      </c>
      <c r="O35">
        <v>4.4999999999999998E-2</v>
      </c>
      <c r="P35">
        <v>1.2999999999999999E-2</v>
      </c>
      <c r="Q35">
        <v>5.2999999999999999E-2</v>
      </c>
    </row>
    <row r="36" spans="1:17">
      <c r="A36">
        <v>37.700000000000003</v>
      </c>
      <c r="B36">
        <v>38.6</v>
      </c>
      <c r="C36">
        <v>7.0000000000000007E-2</v>
      </c>
      <c r="D36">
        <v>0.24</v>
      </c>
      <c r="E36">
        <v>0.11</v>
      </c>
      <c r="F36">
        <f t="shared" si="1"/>
        <v>1100</v>
      </c>
      <c r="H36" s="3">
        <f t="shared" si="2"/>
        <v>0.63636363636363646</v>
      </c>
      <c r="J36">
        <v>0.02</v>
      </c>
      <c r="K36">
        <v>6.0000000000000001E-3</v>
      </c>
      <c r="L36">
        <v>6.0000000000000001E-3</v>
      </c>
      <c r="M36">
        <f t="shared" si="3"/>
        <v>6</v>
      </c>
      <c r="N36" s="83">
        <v>4.0000000000000001E-3</v>
      </c>
      <c r="O36" s="83">
        <v>4.0000000000000001E-3</v>
      </c>
      <c r="P36" s="83">
        <v>2E-3</v>
      </c>
      <c r="Q36" s="83">
        <v>4.0000000000000001E-3</v>
      </c>
    </row>
    <row r="37" spans="1:17">
      <c r="A37">
        <v>38.6</v>
      </c>
      <c r="B37">
        <v>39.299999999999997</v>
      </c>
      <c r="C37">
        <v>8.1999999999999993</v>
      </c>
      <c r="D37">
        <v>25.4</v>
      </c>
      <c r="E37">
        <v>4.21</v>
      </c>
      <c r="F37">
        <f t="shared" si="1"/>
        <v>42100</v>
      </c>
      <c r="H37" s="3">
        <f t="shared" si="2"/>
        <v>1.9477434679334915</v>
      </c>
      <c r="J37">
        <v>0.32100000000000001</v>
      </c>
      <c r="K37">
        <v>0.57499999999999996</v>
      </c>
      <c r="L37">
        <v>3.5739999999999998</v>
      </c>
      <c r="M37">
        <f t="shared" si="3"/>
        <v>3574</v>
      </c>
      <c r="N37">
        <v>7.8E-2</v>
      </c>
      <c r="O37">
        <v>0.124</v>
      </c>
      <c r="P37">
        <v>4.2999999999999997E-2</v>
      </c>
      <c r="Q37">
        <v>0.128</v>
      </c>
    </row>
    <row r="38" spans="1:17">
      <c r="A38">
        <v>39.299999999999997</v>
      </c>
      <c r="B38">
        <v>40</v>
      </c>
      <c r="C38">
        <v>9.5500000000000007</v>
      </c>
      <c r="D38">
        <v>32.5</v>
      </c>
      <c r="E38">
        <v>3.81</v>
      </c>
      <c r="F38">
        <f t="shared" si="1"/>
        <v>38100</v>
      </c>
      <c r="H38" s="3">
        <f t="shared" si="2"/>
        <v>2.5065616797900265</v>
      </c>
      <c r="J38">
        <v>0.498</v>
      </c>
      <c r="K38">
        <v>0.84</v>
      </c>
      <c r="L38">
        <v>1.7030000000000001</v>
      </c>
      <c r="M38">
        <f t="shared" si="3"/>
        <v>1703</v>
      </c>
      <c r="N38">
        <v>7.5999999999999998E-2</v>
      </c>
      <c r="O38">
        <v>0.127</v>
      </c>
      <c r="P38">
        <v>0.05</v>
      </c>
      <c r="Q38">
        <v>0.124</v>
      </c>
    </row>
    <row r="39" spans="1:17">
      <c r="A39">
        <v>40</v>
      </c>
      <c r="B39">
        <v>41.1</v>
      </c>
      <c r="C39">
        <v>0.43</v>
      </c>
      <c r="D39">
        <v>1.56</v>
      </c>
      <c r="E39">
        <v>0.08</v>
      </c>
      <c r="F39">
        <f t="shared" si="1"/>
        <v>800</v>
      </c>
      <c r="H39" s="3">
        <f t="shared" si="2"/>
        <v>5.375</v>
      </c>
      <c r="J39">
        <v>2.4E-2</v>
      </c>
      <c r="K39">
        <v>1.6E-2</v>
      </c>
      <c r="L39">
        <v>0.115</v>
      </c>
      <c r="M39">
        <f t="shared" si="3"/>
        <v>115</v>
      </c>
      <c r="N39">
        <v>4.0000000000000001E-3</v>
      </c>
      <c r="O39">
        <v>8.0000000000000002E-3</v>
      </c>
      <c r="P39">
        <v>3.0000000000000001E-3</v>
      </c>
      <c r="Q39" t="s">
        <v>260</v>
      </c>
    </row>
    <row r="40" spans="1:17">
      <c r="A40">
        <v>41.1</v>
      </c>
      <c r="B40">
        <v>41.7</v>
      </c>
      <c r="C40">
        <v>12.1</v>
      </c>
      <c r="D40">
        <v>31.2</v>
      </c>
      <c r="E40">
        <v>3.55</v>
      </c>
      <c r="F40">
        <f t="shared" si="1"/>
        <v>35500</v>
      </c>
      <c r="H40" s="3">
        <f t="shared" si="2"/>
        <v>3.408450704225352</v>
      </c>
      <c r="J40">
        <v>0.371</v>
      </c>
      <c r="K40">
        <v>0.48099999999999998</v>
      </c>
      <c r="L40">
        <v>2.7679999999999998</v>
      </c>
      <c r="M40">
        <f t="shared" si="3"/>
        <v>2768</v>
      </c>
      <c r="N40">
        <v>0.127</v>
      </c>
      <c r="O40">
        <v>0.222</v>
      </c>
      <c r="P40">
        <v>6.0999999999999999E-2</v>
      </c>
      <c r="Q40">
        <v>0.22900000000000001</v>
      </c>
    </row>
    <row r="42" spans="1:17">
      <c r="A42" t="s">
        <v>265</v>
      </c>
    </row>
    <row r="43" spans="1:17">
      <c r="A43" t="s">
        <v>266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H8" sqref="H8:H14"/>
    </sheetView>
  </sheetViews>
  <sheetFormatPr baseColWidth="10" defaultRowHeight="13" x14ac:dyDescent="0"/>
  <cols>
    <col min="2" max="2" width="8.140625" customWidth="1"/>
    <col min="3" max="3" width="6.140625" customWidth="1"/>
    <col min="4" max="4" width="5.85546875" customWidth="1"/>
    <col min="5" max="5" width="6.28515625" customWidth="1"/>
    <col min="6" max="6" width="6.5703125" customWidth="1"/>
    <col min="7" max="7" width="6.28515625" customWidth="1"/>
    <col min="8" max="8" width="8" customWidth="1"/>
    <col min="9" max="9" width="6.28515625" customWidth="1"/>
    <col min="10" max="10" width="6.42578125" customWidth="1"/>
    <col min="11" max="11" width="6.28515625" customWidth="1"/>
    <col min="12" max="12" width="7.28515625" customWidth="1"/>
  </cols>
  <sheetData>
    <row r="2" spans="1:12">
      <c r="A2" t="s">
        <v>255</v>
      </c>
    </row>
    <row r="4" spans="1:12">
      <c r="A4" t="s">
        <v>83</v>
      </c>
      <c r="B4" t="s">
        <v>84</v>
      </c>
      <c r="C4" t="s">
        <v>256</v>
      </c>
      <c r="D4" t="s">
        <v>257</v>
      </c>
      <c r="E4" t="s">
        <v>258</v>
      </c>
      <c r="F4" t="s">
        <v>259</v>
      </c>
      <c r="G4" t="s">
        <v>262</v>
      </c>
      <c r="H4" t="s">
        <v>263</v>
      </c>
      <c r="I4" t="s">
        <v>264</v>
      </c>
      <c r="J4" t="s">
        <v>97</v>
      </c>
      <c r="K4" t="s">
        <v>48</v>
      </c>
      <c r="L4" t="s">
        <v>261</v>
      </c>
    </row>
    <row r="5" spans="1:12">
      <c r="A5">
        <v>32.4</v>
      </c>
      <c r="B5">
        <v>33.5</v>
      </c>
      <c r="C5">
        <v>0.15</v>
      </c>
      <c r="D5">
        <v>1.48</v>
      </c>
      <c r="E5">
        <v>0.05</v>
      </c>
    </row>
    <row r="6" spans="1:12">
      <c r="A6">
        <v>33.5</v>
      </c>
      <c r="B6">
        <v>34.700000000000003</v>
      </c>
      <c r="C6">
        <v>0.54</v>
      </c>
      <c r="D6">
        <v>1.48</v>
      </c>
      <c r="E6">
        <v>0.13</v>
      </c>
    </row>
    <row r="7" spans="1:12">
      <c r="A7">
        <v>34.700000000000003</v>
      </c>
      <c r="B7">
        <v>35.9</v>
      </c>
      <c r="C7">
        <v>0.12</v>
      </c>
      <c r="D7">
        <v>0.62</v>
      </c>
      <c r="E7">
        <v>0.03</v>
      </c>
    </row>
    <row r="8" spans="1:12">
      <c r="A8">
        <v>35.9</v>
      </c>
      <c r="B8">
        <v>36.700000000000003</v>
      </c>
      <c r="C8">
        <v>6.25</v>
      </c>
      <c r="D8">
        <v>9.8000000000000007</v>
      </c>
      <c r="E8">
        <v>2.6</v>
      </c>
      <c r="F8">
        <v>0.159</v>
      </c>
      <c r="G8">
        <v>0.33300000000000002</v>
      </c>
      <c r="H8">
        <v>1.143</v>
      </c>
      <c r="I8">
        <v>8.8999999999999996E-2</v>
      </c>
      <c r="J8">
        <v>0.153</v>
      </c>
      <c r="K8">
        <v>4.2999999999999997E-2</v>
      </c>
      <c r="L8">
        <v>0.16300000000000001</v>
      </c>
    </row>
    <row r="9" spans="1:12">
      <c r="A9">
        <v>36.700000000000003</v>
      </c>
      <c r="B9">
        <v>37.700000000000003</v>
      </c>
      <c r="C9">
        <v>1.56</v>
      </c>
      <c r="D9">
        <v>3.1</v>
      </c>
      <c r="E9">
        <v>0.59</v>
      </c>
      <c r="F9">
        <v>3.9E-2</v>
      </c>
      <c r="G9">
        <v>0.104</v>
      </c>
      <c r="H9">
        <v>0.66900000000000004</v>
      </c>
      <c r="I9">
        <v>2.8000000000000001E-2</v>
      </c>
      <c r="J9">
        <v>4.4999999999999998E-2</v>
      </c>
      <c r="K9">
        <v>1.2999999999999999E-2</v>
      </c>
      <c r="L9">
        <v>5.2999999999999999E-2</v>
      </c>
    </row>
    <row r="10" spans="1:12">
      <c r="A10">
        <v>37.700000000000003</v>
      </c>
      <c r="B10">
        <v>38.6</v>
      </c>
      <c r="C10">
        <v>7.0000000000000007E-2</v>
      </c>
      <c r="D10">
        <v>0.24</v>
      </c>
      <c r="E10">
        <v>0.11</v>
      </c>
      <c r="F10">
        <v>0.02</v>
      </c>
      <c r="G10">
        <v>6.0000000000000001E-3</v>
      </c>
      <c r="H10">
        <v>6.0000000000000001E-3</v>
      </c>
      <c r="I10" s="83">
        <v>4.0000000000000001E-3</v>
      </c>
      <c r="J10" s="83">
        <v>4.0000000000000001E-3</v>
      </c>
      <c r="K10" s="83">
        <v>2E-3</v>
      </c>
      <c r="L10" s="83">
        <v>4.0000000000000001E-3</v>
      </c>
    </row>
    <row r="11" spans="1:12">
      <c r="A11">
        <v>38.6</v>
      </c>
      <c r="B11">
        <v>39.299999999999997</v>
      </c>
      <c r="C11">
        <v>8.1999999999999993</v>
      </c>
      <c r="D11">
        <v>25.4</v>
      </c>
      <c r="E11">
        <v>4.21</v>
      </c>
      <c r="F11">
        <v>0.32100000000000001</v>
      </c>
      <c r="G11">
        <v>0.57499999999999996</v>
      </c>
      <c r="H11">
        <v>3.5739999999999998</v>
      </c>
      <c r="I11">
        <v>7.8E-2</v>
      </c>
      <c r="J11">
        <v>0.124</v>
      </c>
      <c r="K11">
        <v>4.2999999999999997E-2</v>
      </c>
      <c r="L11">
        <v>0.128</v>
      </c>
    </row>
    <row r="12" spans="1:12">
      <c r="A12">
        <v>39.299999999999997</v>
      </c>
      <c r="B12">
        <v>40</v>
      </c>
      <c r="C12">
        <v>9.5500000000000007</v>
      </c>
      <c r="D12">
        <v>32.5</v>
      </c>
      <c r="E12">
        <v>3.81</v>
      </c>
      <c r="F12">
        <v>0.498</v>
      </c>
      <c r="G12">
        <v>0.84</v>
      </c>
      <c r="H12">
        <v>1.7030000000000001</v>
      </c>
      <c r="I12">
        <v>7.5999999999999998E-2</v>
      </c>
      <c r="J12">
        <v>0.127</v>
      </c>
      <c r="K12">
        <v>0.05</v>
      </c>
      <c r="L12">
        <v>0.124</v>
      </c>
    </row>
    <row r="13" spans="1:12">
      <c r="A13">
        <v>40</v>
      </c>
      <c r="B13">
        <v>41.1</v>
      </c>
      <c r="C13">
        <v>0.43</v>
      </c>
      <c r="D13">
        <v>1.56</v>
      </c>
      <c r="E13">
        <v>0.08</v>
      </c>
      <c r="F13">
        <v>2.4E-2</v>
      </c>
      <c r="G13">
        <v>1.6E-2</v>
      </c>
      <c r="H13">
        <v>0.115</v>
      </c>
      <c r="I13">
        <v>4.0000000000000001E-3</v>
      </c>
      <c r="J13">
        <v>8.0000000000000002E-3</v>
      </c>
      <c r="K13">
        <v>3.0000000000000001E-3</v>
      </c>
      <c r="L13" t="s">
        <v>260</v>
      </c>
    </row>
    <row r="14" spans="1:12">
      <c r="A14">
        <v>41.1</v>
      </c>
      <c r="B14">
        <v>41.7</v>
      </c>
      <c r="C14">
        <v>12.1</v>
      </c>
      <c r="D14">
        <v>31.2</v>
      </c>
      <c r="E14">
        <v>3.55</v>
      </c>
      <c r="F14">
        <v>0.371</v>
      </c>
      <c r="G14">
        <v>0.48099999999999998</v>
      </c>
      <c r="H14">
        <v>2.7679999999999998</v>
      </c>
      <c r="I14">
        <v>0.127</v>
      </c>
      <c r="J14">
        <v>0.222</v>
      </c>
      <c r="K14">
        <v>6.0999999999999999E-2</v>
      </c>
      <c r="L14">
        <v>0.22900000000000001</v>
      </c>
    </row>
    <row r="16" spans="1:12">
      <c r="A16" t="s">
        <v>265</v>
      </c>
    </row>
    <row r="17" spans="1:1">
      <c r="A17" t="s">
        <v>266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workbookViewId="0">
      <selection activeCell="F31" sqref="F31"/>
    </sheetView>
  </sheetViews>
  <sheetFormatPr baseColWidth="10" defaultRowHeight="13" x14ac:dyDescent="0"/>
  <sheetData>
    <row r="2" spans="1:3">
      <c r="A2" s="8" t="s">
        <v>136</v>
      </c>
      <c r="B2" s="11" t="s">
        <v>51</v>
      </c>
      <c r="C2" s="8">
        <v>163.5</v>
      </c>
    </row>
    <row r="3" spans="1:3">
      <c r="A3" s="8" t="s">
        <v>137</v>
      </c>
      <c r="B3" s="11" t="s">
        <v>51</v>
      </c>
      <c r="C3" s="8">
        <v>164.2</v>
      </c>
    </row>
    <row r="4" spans="1:3">
      <c r="A4" s="8" t="s">
        <v>138</v>
      </c>
      <c r="B4" s="11" t="s">
        <v>51</v>
      </c>
      <c r="C4" s="8">
        <v>167.45</v>
      </c>
    </row>
    <row r="5" spans="1:3">
      <c r="A5" t="s">
        <v>222</v>
      </c>
      <c r="B5" t="s">
        <v>223</v>
      </c>
      <c r="C5">
        <v>169.2</v>
      </c>
    </row>
    <row r="6" spans="1:3">
      <c r="A6" s="8" t="s">
        <v>139</v>
      </c>
      <c r="B6" s="11" t="s">
        <v>51</v>
      </c>
      <c r="C6" s="8">
        <v>170.9</v>
      </c>
    </row>
    <row r="7" spans="1:3">
      <c r="A7" t="s">
        <v>224</v>
      </c>
      <c r="B7" t="s">
        <v>223</v>
      </c>
      <c r="C7">
        <v>171.5</v>
      </c>
    </row>
    <row r="8" spans="1:3">
      <c r="A8" s="8"/>
      <c r="B8" s="8" t="s">
        <v>51</v>
      </c>
      <c r="C8" s="8">
        <v>174.25</v>
      </c>
    </row>
    <row r="9" spans="1:3">
      <c r="A9" s="8"/>
      <c r="B9" s="8" t="s">
        <v>51</v>
      </c>
      <c r="C9" s="8">
        <v>174.4</v>
      </c>
    </row>
    <row r="10" spans="1:3">
      <c r="A10" t="s">
        <v>225</v>
      </c>
      <c r="B10" t="s">
        <v>223</v>
      </c>
      <c r="C10">
        <v>174.44</v>
      </c>
    </row>
    <row r="11" spans="1:3">
      <c r="A11" s="8"/>
      <c r="B11" s="8" t="s">
        <v>51</v>
      </c>
      <c r="C11" s="8">
        <v>174.5</v>
      </c>
    </row>
    <row r="12" spans="1:3">
      <c r="A12" t="s">
        <v>227</v>
      </c>
      <c r="B12" t="s">
        <v>223</v>
      </c>
      <c r="C12">
        <v>174.52</v>
      </c>
    </row>
    <row r="13" spans="1:3">
      <c r="A13" s="8"/>
      <c r="B13" s="8"/>
      <c r="C13" s="8"/>
    </row>
    <row r="14" spans="1:3">
      <c r="A14" s="45" t="s">
        <v>141</v>
      </c>
      <c r="B14" s="45" t="s">
        <v>53</v>
      </c>
      <c r="C14" s="45">
        <v>123.55</v>
      </c>
    </row>
    <row r="15" spans="1:3">
      <c r="A15" s="5" t="s">
        <v>140</v>
      </c>
      <c r="B15" s="5" t="s">
        <v>53</v>
      </c>
      <c r="C15" s="5">
        <v>128.55000000000001</v>
      </c>
    </row>
    <row r="16" spans="1:3">
      <c r="A16" s="7" t="s">
        <v>144</v>
      </c>
      <c r="B16" s="7" t="s">
        <v>53</v>
      </c>
      <c r="C16" s="7">
        <v>151.55000000000001</v>
      </c>
    </row>
    <row r="17" spans="1:3">
      <c r="A17" s="7" t="s">
        <v>143</v>
      </c>
      <c r="B17" s="7" t="s">
        <v>53</v>
      </c>
      <c r="C17" s="7">
        <v>155.21</v>
      </c>
    </row>
    <row r="18" spans="1:3">
      <c r="A18" s="7" t="s">
        <v>142</v>
      </c>
      <c r="B18" s="7" t="s">
        <v>53</v>
      </c>
      <c r="C18" s="7">
        <v>159</v>
      </c>
    </row>
    <row r="19" spans="1:3">
      <c r="A19" s="5" t="s">
        <v>145</v>
      </c>
      <c r="B19" s="5" t="s">
        <v>53</v>
      </c>
      <c r="C19" s="5">
        <v>304</v>
      </c>
    </row>
    <row r="20" spans="1:3">
      <c r="A20" s="5" t="s">
        <v>146</v>
      </c>
      <c r="B20" s="5" t="s">
        <v>53</v>
      </c>
      <c r="C20" s="5">
        <v>306.10000000000002</v>
      </c>
    </row>
    <row r="21" spans="1:3">
      <c r="A21" s="5" t="s">
        <v>147</v>
      </c>
      <c r="B21" s="5" t="s">
        <v>53</v>
      </c>
      <c r="C21" s="5">
        <v>310.55</v>
      </c>
    </row>
    <row r="22" spans="1:3">
      <c r="A22" s="33" t="s">
        <v>148</v>
      </c>
      <c r="B22" s="33" t="s">
        <v>53</v>
      </c>
      <c r="C22" s="33">
        <v>323.3</v>
      </c>
    </row>
    <row r="23" spans="1:3">
      <c r="A23" s="33" t="s">
        <v>149</v>
      </c>
      <c r="B23" s="33" t="s">
        <v>53</v>
      </c>
      <c r="C23" s="33">
        <v>330.55</v>
      </c>
    </row>
    <row r="24" spans="1:3" ht="15" customHeight="1">
      <c r="A24" t="s">
        <v>232</v>
      </c>
      <c r="B24" t="s">
        <v>233</v>
      </c>
      <c r="C24">
        <v>335.2</v>
      </c>
    </row>
    <row r="25" spans="1:3" ht="15" customHeight="1">
      <c r="A25" s="33" t="s">
        <v>150</v>
      </c>
      <c r="B25" s="33" t="s">
        <v>53</v>
      </c>
      <c r="C25" s="33">
        <v>345.4</v>
      </c>
    </row>
    <row r="26" spans="1:3">
      <c r="A26" s="33" t="s">
        <v>151</v>
      </c>
      <c r="B26" s="33" t="s">
        <v>53</v>
      </c>
      <c r="C26" s="33">
        <v>356</v>
      </c>
    </row>
    <row r="27" spans="1:3">
      <c r="A27" t="s">
        <v>235</v>
      </c>
      <c r="B27" t="s">
        <v>233</v>
      </c>
      <c r="C27">
        <v>356.3</v>
      </c>
    </row>
    <row r="28" spans="1:3">
      <c r="A28" s="33" t="s">
        <v>152</v>
      </c>
      <c r="B28" s="33" t="s">
        <v>53</v>
      </c>
      <c r="C28" s="33">
        <v>365.2</v>
      </c>
    </row>
    <row r="29" spans="1:3">
      <c r="A29" s="33" t="s">
        <v>153</v>
      </c>
      <c r="B29" s="33" t="s">
        <v>53</v>
      </c>
      <c r="C29" s="33">
        <v>368.86</v>
      </c>
    </row>
    <row r="30" spans="1:3" ht="13" customHeight="1">
      <c r="A30" t="s">
        <v>236</v>
      </c>
      <c r="B30" t="s">
        <v>233</v>
      </c>
      <c r="C30" s="55">
        <v>376.5</v>
      </c>
    </row>
    <row r="31" spans="1:3" ht="13" customHeight="1">
      <c r="A31" t="s">
        <v>237</v>
      </c>
      <c r="B31" t="s">
        <v>233</v>
      </c>
      <c r="C31" s="55">
        <v>380.1</v>
      </c>
    </row>
    <row r="32" spans="1:3">
      <c r="A32" s="33" t="s">
        <v>154</v>
      </c>
      <c r="B32" s="33" t="s">
        <v>53</v>
      </c>
      <c r="C32" s="33">
        <v>381.3</v>
      </c>
    </row>
    <row r="33" spans="1:3">
      <c r="A33" s="33"/>
      <c r="B33" s="33"/>
      <c r="C33" s="33"/>
    </row>
    <row r="34" spans="1:3">
      <c r="A34" s="5" t="s">
        <v>155</v>
      </c>
      <c r="B34" s="6" t="s">
        <v>64</v>
      </c>
      <c r="C34" s="5">
        <v>121.8</v>
      </c>
    </row>
    <row r="35" spans="1:3">
      <c r="A35" s="5" t="s">
        <v>156</v>
      </c>
      <c r="B35" s="6" t="s">
        <v>64</v>
      </c>
      <c r="C35" s="5">
        <v>123.35</v>
      </c>
    </row>
    <row r="36" spans="1:3">
      <c r="A36" s="5" t="s">
        <v>157</v>
      </c>
      <c r="B36" s="6" t="s">
        <v>64</v>
      </c>
      <c r="C36" s="5">
        <v>126.4</v>
      </c>
    </row>
    <row r="37" spans="1:3">
      <c r="A37" s="5" t="s">
        <v>158</v>
      </c>
      <c r="B37" s="6" t="s">
        <v>64</v>
      </c>
      <c r="C37" s="5">
        <v>127.7</v>
      </c>
    </row>
    <row r="39" spans="1:3">
      <c r="A39" t="s">
        <v>202</v>
      </c>
      <c r="B39" t="s">
        <v>203</v>
      </c>
      <c r="C39">
        <v>39.6</v>
      </c>
    </row>
    <row r="40" spans="1:3">
      <c r="A40" t="s">
        <v>210</v>
      </c>
      <c r="B40" t="s">
        <v>203</v>
      </c>
      <c r="C40">
        <v>41.32</v>
      </c>
    </row>
    <row r="41" spans="1:3">
      <c r="A41" t="s">
        <v>214</v>
      </c>
      <c r="B41" t="s">
        <v>215</v>
      </c>
      <c r="C41">
        <v>48.35</v>
      </c>
    </row>
    <row r="42" spans="1:3">
      <c r="A42" t="s">
        <v>216</v>
      </c>
      <c r="B42" t="s">
        <v>215</v>
      </c>
      <c r="C42">
        <v>49.52</v>
      </c>
    </row>
    <row r="43" spans="1:3">
      <c r="A43" t="s">
        <v>217</v>
      </c>
      <c r="B43" t="s">
        <v>215</v>
      </c>
      <c r="C43">
        <v>65.3</v>
      </c>
    </row>
    <row r="44" spans="1:3">
      <c r="A44" t="s">
        <v>218</v>
      </c>
      <c r="B44" t="s">
        <v>215</v>
      </c>
      <c r="C44">
        <v>65.5</v>
      </c>
    </row>
    <row r="45" spans="1:3">
      <c r="A45" t="s">
        <v>219</v>
      </c>
      <c r="B45" t="s">
        <v>215</v>
      </c>
      <c r="C45">
        <v>74.5</v>
      </c>
    </row>
    <row r="46" spans="1:3">
      <c r="A46" t="s">
        <v>220</v>
      </c>
      <c r="B46" t="s">
        <v>215</v>
      </c>
      <c r="C46">
        <v>74.599999999999994</v>
      </c>
    </row>
    <row r="47" spans="1:3">
      <c r="A47" t="s">
        <v>221</v>
      </c>
      <c r="B47" t="s">
        <v>215</v>
      </c>
      <c r="C47">
        <v>75</v>
      </c>
    </row>
    <row r="48" spans="1:3" ht="15">
      <c r="A48" t="s">
        <v>241</v>
      </c>
      <c r="B48" t="s">
        <v>215</v>
      </c>
      <c r="C48" s="55">
        <v>65.599999999999994</v>
      </c>
    </row>
    <row r="49" spans="1:3" ht="15">
      <c r="A49" t="s">
        <v>240</v>
      </c>
      <c r="B49" t="s">
        <v>215</v>
      </c>
      <c r="C49" s="55">
        <v>64.8</v>
      </c>
    </row>
    <row r="50" spans="1:3" ht="15">
      <c r="C50" s="55"/>
    </row>
    <row r="51" spans="1:3">
      <c r="A51" t="s">
        <v>228</v>
      </c>
      <c r="B51" t="s">
        <v>229</v>
      </c>
      <c r="C51">
        <v>139.55000000000001</v>
      </c>
    </row>
    <row r="52" spans="1:3">
      <c r="A52" t="s">
        <v>230</v>
      </c>
      <c r="B52" t="s">
        <v>229</v>
      </c>
      <c r="C52">
        <v>143.69999999999999</v>
      </c>
    </row>
    <row r="53" spans="1:3">
      <c r="A53" t="s">
        <v>231</v>
      </c>
      <c r="B53" t="s">
        <v>229</v>
      </c>
      <c r="C53">
        <v>145.19999999999999</v>
      </c>
    </row>
    <row r="55" spans="1:3" ht="15">
      <c r="A55" t="s">
        <v>242</v>
      </c>
      <c r="B55" t="s">
        <v>243</v>
      </c>
      <c r="C55" s="55">
        <v>634.6</v>
      </c>
    </row>
    <row r="56" spans="1:3" ht="15">
      <c r="A56" t="s">
        <v>238</v>
      </c>
      <c r="B56" t="s">
        <v>239</v>
      </c>
      <c r="C56" s="55">
        <v>634.6</v>
      </c>
    </row>
    <row r="65" spans="6:6">
      <c r="F65" t="s">
        <v>244</v>
      </c>
    </row>
  </sheetData>
  <sortState ref="A3:C12">
    <sortCondition ref="C3:C1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6"/>
  <sheetViews>
    <sheetView workbookViewId="0">
      <selection activeCell="A21" sqref="A21:XFD21"/>
    </sheetView>
  </sheetViews>
  <sheetFormatPr baseColWidth="10" defaultRowHeight="13" x14ac:dyDescent="0"/>
  <cols>
    <col min="2" max="2" width="9.28515625" customWidth="1"/>
    <col min="3" max="6" width="8" customWidth="1"/>
    <col min="9" max="17" width="7.28515625" customWidth="1"/>
    <col min="31" max="43" width="7.85546875" customWidth="1"/>
    <col min="113" max="113" width="6.85546875" customWidth="1"/>
    <col min="114" max="114" width="7.28515625" customWidth="1"/>
    <col min="115" max="115" width="6.7109375" customWidth="1"/>
  </cols>
  <sheetData>
    <row r="1" spans="1:116">
      <c r="BF1" s="48" t="s">
        <v>187</v>
      </c>
    </row>
    <row r="2" spans="1:116">
      <c r="E2" s="48" t="s">
        <v>186</v>
      </c>
      <c r="F2" s="48"/>
      <c r="G2" s="48" t="s">
        <v>186</v>
      </c>
      <c r="H2" s="48" t="s">
        <v>186</v>
      </c>
      <c r="K2" s="48" t="s">
        <v>189</v>
      </c>
      <c r="M2" s="48" t="s">
        <v>188</v>
      </c>
      <c r="O2" s="48" t="s">
        <v>189</v>
      </c>
      <c r="Q2" s="48" t="s">
        <v>189</v>
      </c>
      <c r="R2" s="48" t="s">
        <v>187</v>
      </c>
      <c r="S2" s="48" t="s">
        <v>187</v>
      </c>
      <c r="T2" s="48" t="s">
        <v>187</v>
      </c>
      <c r="U2" s="48" t="s">
        <v>187</v>
      </c>
      <c r="V2" s="48" t="s">
        <v>187</v>
      </c>
      <c r="W2" s="48" t="s">
        <v>187</v>
      </c>
      <c r="X2" s="48" t="s">
        <v>187</v>
      </c>
      <c r="Y2" s="48" t="s">
        <v>187</v>
      </c>
      <c r="Z2" s="48" t="s">
        <v>187</v>
      </c>
      <c r="AA2" s="48" t="s">
        <v>187</v>
      </c>
      <c r="AB2" s="48" t="s">
        <v>187</v>
      </c>
      <c r="AC2" s="48" t="s">
        <v>42</v>
      </c>
      <c r="AD2" s="48" t="s">
        <v>187</v>
      </c>
      <c r="AE2" s="48" t="s">
        <v>43</v>
      </c>
      <c r="AF2" s="48" t="s">
        <v>130</v>
      </c>
      <c r="AG2" s="48" t="s">
        <v>131</v>
      </c>
      <c r="AH2" s="48" t="s">
        <v>121</v>
      </c>
      <c r="AI2" s="48" t="s">
        <v>126</v>
      </c>
      <c r="AJ2" s="48" t="s">
        <v>127</v>
      </c>
      <c r="AK2" s="48" t="s">
        <v>123</v>
      </c>
      <c r="AL2" s="48" t="s">
        <v>122</v>
      </c>
      <c r="AM2" s="48" t="s">
        <v>128</v>
      </c>
      <c r="AN2" s="48" t="s">
        <v>124</v>
      </c>
      <c r="AO2" s="48" t="s">
        <v>129</v>
      </c>
      <c r="AP2" s="48" t="s">
        <v>26</v>
      </c>
      <c r="AQ2" s="48" t="s">
        <v>26</v>
      </c>
      <c r="AR2" s="48" t="s">
        <v>187</v>
      </c>
      <c r="AS2" s="48" t="s">
        <v>187</v>
      </c>
      <c r="AT2" s="48" t="s">
        <v>189</v>
      </c>
      <c r="AU2" s="48" t="s">
        <v>189</v>
      </c>
      <c r="AV2" s="48" t="s">
        <v>187</v>
      </c>
      <c r="AW2" s="48" t="s">
        <v>187</v>
      </c>
      <c r="AX2" s="48"/>
      <c r="AY2" s="48" t="s">
        <v>187</v>
      </c>
      <c r="AZ2" s="48" t="s">
        <v>187</v>
      </c>
      <c r="BA2" s="59" t="s">
        <v>187</v>
      </c>
      <c r="BB2" s="48" t="s">
        <v>187</v>
      </c>
      <c r="BC2" s="48" t="s">
        <v>187</v>
      </c>
      <c r="BD2" s="48" t="s">
        <v>187</v>
      </c>
      <c r="BE2" s="48" t="s">
        <v>187</v>
      </c>
      <c r="BF2" s="48" t="s">
        <v>184</v>
      </c>
      <c r="BJ2" s="48" t="s">
        <v>187</v>
      </c>
      <c r="BK2" s="48" t="s">
        <v>189</v>
      </c>
      <c r="BL2" s="59" t="s">
        <v>187</v>
      </c>
      <c r="BM2" s="48" t="s">
        <v>187</v>
      </c>
      <c r="BN2" s="48" t="s">
        <v>187</v>
      </c>
      <c r="BO2" s="48" t="s">
        <v>189</v>
      </c>
      <c r="BP2" s="48" t="s">
        <v>187</v>
      </c>
      <c r="BQ2" s="48" t="s">
        <v>187</v>
      </c>
      <c r="BR2" s="48" t="s">
        <v>189</v>
      </c>
      <c r="BS2" s="48" t="s">
        <v>187</v>
      </c>
      <c r="BT2" s="48" t="s">
        <v>187</v>
      </c>
      <c r="BU2" s="48" t="s">
        <v>187</v>
      </c>
      <c r="BV2" s="48" t="s">
        <v>187</v>
      </c>
      <c r="BW2" s="48" t="s">
        <v>187</v>
      </c>
      <c r="BX2" s="48" t="s">
        <v>187</v>
      </c>
      <c r="BY2" s="48" t="s">
        <v>187</v>
      </c>
      <c r="BZ2" s="48"/>
      <c r="CA2" s="48"/>
      <c r="CB2" s="48" t="s">
        <v>187</v>
      </c>
      <c r="CC2" s="48" t="s">
        <v>187</v>
      </c>
      <c r="CD2" s="48" t="s">
        <v>187</v>
      </c>
      <c r="CE2" s="48" t="s">
        <v>187</v>
      </c>
      <c r="CF2" s="48" t="s">
        <v>187</v>
      </c>
      <c r="CG2" s="48" t="s">
        <v>187</v>
      </c>
      <c r="CH2" s="48" t="s">
        <v>189</v>
      </c>
      <c r="CI2" s="48" t="s">
        <v>187</v>
      </c>
      <c r="CJ2" s="48"/>
      <c r="CK2" s="48"/>
      <c r="CL2" s="48" t="s">
        <v>187</v>
      </c>
      <c r="CQ2" s="48" t="s">
        <v>189</v>
      </c>
      <c r="CR2" s="48" t="s">
        <v>189</v>
      </c>
      <c r="CS2" s="48" t="s">
        <v>189</v>
      </c>
      <c r="CT2" s="48" t="s">
        <v>189</v>
      </c>
      <c r="CU2" s="48" t="s">
        <v>189</v>
      </c>
      <c r="CV2" s="48" t="s">
        <v>189</v>
      </c>
      <c r="CX2" s="48" t="s">
        <v>189</v>
      </c>
      <c r="CY2" s="48" t="s">
        <v>189</v>
      </c>
      <c r="CZ2" s="48" t="s">
        <v>189</v>
      </c>
      <c r="DA2" s="48" t="s">
        <v>189</v>
      </c>
      <c r="DB2" s="48" t="s">
        <v>189</v>
      </c>
      <c r="DC2" s="48" t="s">
        <v>189</v>
      </c>
      <c r="DD2" s="48" t="s">
        <v>189</v>
      </c>
      <c r="DE2" s="48" t="s">
        <v>189</v>
      </c>
      <c r="DF2" s="48"/>
      <c r="DG2" s="48" t="s">
        <v>190</v>
      </c>
      <c r="DH2" s="48"/>
      <c r="DI2" s="48" t="s">
        <v>191</v>
      </c>
      <c r="DJ2" s="48" t="s">
        <v>191</v>
      </c>
      <c r="DK2" s="48" t="s">
        <v>191</v>
      </c>
      <c r="DL2" s="48" t="s">
        <v>168</v>
      </c>
    </row>
    <row r="3" spans="1:116">
      <c r="C3" t="s">
        <v>83</v>
      </c>
      <c r="D3" t="s">
        <v>245</v>
      </c>
      <c r="E3" s="48" t="s">
        <v>44</v>
      </c>
      <c r="F3" s="48" t="s">
        <v>45</v>
      </c>
      <c r="G3" s="48" t="s">
        <v>46</v>
      </c>
      <c r="H3" s="48" t="s">
        <v>47</v>
      </c>
      <c r="I3" s="48" t="s">
        <v>48</v>
      </c>
      <c r="J3" s="48" t="s">
        <v>49</v>
      </c>
      <c r="K3" s="48" t="s">
        <v>177</v>
      </c>
      <c r="L3" s="48" t="s">
        <v>160</v>
      </c>
      <c r="M3" s="48" t="s">
        <v>194</v>
      </c>
      <c r="N3" s="48" t="s">
        <v>161</v>
      </c>
      <c r="O3" s="48" t="s">
        <v>163</v>
      </c>
      <c r="P3" s="48" t="s">
        <v>168</v>
      </c>
      <c r="Q3" s="48" t="s">
        <v>164</v>
      </c>
      <c r="R3" s="48" t="s">
        <v>121</v>
      </c>
      <c r="S3" s="48" t="s">
        <v>122</v>
      </c>
      <c r="T3" s="48" t="s">
        <v>123</v>
      </c>
      <c r="U3" s="48" t="s">
        <v>124</v>
      </c>
      <c r="V3" s="48" t="s">
        <v>126</v>
      </c>
      <c r="W3" s="48" t="s">
        <v>127</v>
      </c>
      <c r="X3" s="48" t="s">
        <v>128</v>
      </c>
      <c r="Y3" s="48" t="s">
        <v>129</v>
      </c>
      <c r="Z3" s="48" t="s">
        <v>130</v>
      </c>
      <c r="AA3" s="48" t="s">
        <v>131</v>
      </c>
      <c r="AB3" s="48" t="s">
        <v>125</v>
      </c>
      <c r="AC3" s="48"/>
      <c r="AD3" s="48" t="s">
        <v>193</v>
      </c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 t="s">
        <v>169</v>
      </c>
      <c r="AS3" s="48" t="s">
        <v>170</v>
      </c>
      <c r="AT3" s="48" t="s">
        <v>171</v>
      </c>
      <c r="AU3" s="48" t="s">
        <v>172</v>
      </c>
      <c r="AV3" s="48" t="s">
        <v>173</v>
      </c>
      <c r="AW3" s="48" t="s">
        <v>174</v>
      </c>
      <c r="AX3" s="48" t="s">
        <v>175</v>
      </c>
      <c r="AY3" s="48" t="s">
        <v>176</v>
      </c>
      <c r="AZ3" s="48" t="s">
        <v>178</v>
      </c>
      <c r="BA3" s="59" t="s">
        <v>179</v>
      </c>
      <c r="BB3" s="48" t="s">
        <v>180</v>
      </c>
      <c r="BC3" s="48" t="s">
        <v>181</v>
      </c>
      <c r="BD3" s="48" t="s">
        <v>182</v>
      </c>
      <c r="BE3" s="48" t="s">
        <v>183</v>
      </c>
      <c r="BF3" s="48" t="s">
        <v>201</v>
      </c>
      <c r="BG3" s="48" t="s">
        <v>185</v>
      </c>
      <c r="BH3" s="48" t="s">
        <v>187</v>
      </c>
      <c r="BI3" s="48" t="s">
        <v>1</v>
      </c>
      <c r="BJ3" s="48" t="s">
        <v>2</v>
      </c>
      <c r="BK3" s="48" t="s">
        <v>3</v>
      </c>
      <c r="BL3" s="59" t="s">
        <v>4</v>
      </c>
      <c r="BM3" s="48" t="s">
        <v>5</v>
      </c>
      <c r="BN3" s="48" t="s">
        <v>6</v>
      </c>
      <c r="BO3" s="48" t="s">
        <v>7</v>
      </c>
      <c r="BP3" s="48" t="s">
        <v>8</v>
      </c>
      <c r="BQ3" s="48" t="s">
        <v>9</v>
      </c>
      <c r="BR3" s="48" t="s">
        <v>10</v>
      </c>
      <c r="BS3" s="48" t="s">
        <v>11</v>
      </c>
      <c r="BT3" s="48" t="s">
        <v>12</v>
      </c>
      <c r="BU3" s="48" t="s">
        <v>13</v>
      </c>
      <c r="BV3" s="48" t="s">
        <v>14</v>
      </c>
      <c r="BW3" s="48" t="s">
        <v>15</v>
      </c>
      <c r="BX3" s="48" t="s">
        <v>16</v>
      </c>
      <c r="BY3" s="48" t="s">
        <v>17</v>
      </c>
      <c r="BZ3" t="s">
        <v>18</v>
      </c>
      <c r="CA3" t="s">
        <v>19</v>
      </c>
      <c r="CB3" s="48" t="s">
        <v>20</v>
      </c>
      <c r="CC3" s="48" t="s">
        <v>30</v>
      </c>
      <c r="CD3" s="48" t="s">
        <v>31</v>
      </c>
      <c r="CE3" s="48" t="s">
        <v>32</v>
      </c>
      <c r="CF3" s="48" t="s">
        <v>33</v>
      </c>
      <c r="CG3" s="48" t="s">
        <v>34</v>
      </c>
      <c r="CH3" s="48" t="s">
        <v>35</v>
      </c>
      <c r="CI3" s="48" t="s">
        <v>36</v>
      </c>
      <c r="CJ3" s="48"/>
      <c r="CK3" s="48"/>
      <c r="CL3" s="48"/>
      <c r="CQ3" s="48" t="s">
        <v>195</v>
      </c>
      <c r="CR3" s="48" t="s">
        <v>196</v>
      </c>
      <c r="CS3" s="48" t="s">
        <v>44</v>
      </c>
      <c r="CT3" s="48" t="s">
        <v>17</v>
      </c>
      <c r="CU3" s="48" t="s">
        <v>14</v>
      </c>
      <c r="CV3" s="48" t="s">
        <v>31</v>
      </c>
      <c r="CX3" s="48" t="s">
        <v>175</v>
      </c>
      <c r="CY3" s="48" t="s">
        <v>169</v>
      </c>
      <c r="CZ3" s="48" t="s">
        <v>18</v>
      </c>
      <c r="DA3" s="48" t="s">
        <v>197</v>
      </c>
      <c r="DB3" s="48" t="s">
        <v>32</v>
      </c>
      <c r="DC3" s="48" t="s">
        <v>198</v>
      </c>
      <c r="DD3" s="48" t="s">
        <v>11</v>
      </c>
      <c r="DE3" s="48" t="s">
        <v>19</v>
      </c>
      <c r="DF3" s="48"/>
      <c r="DG3" s="48" t="s">
        <v>6</v>
      </c>
      <c r="DH3" s="48"/>
      <c r="DI3" s="48" t="s">
        <v>44</v>
      </c>
      <c r="DJ3" s="48" t="s">
        <v>47</v>
      </c>
      <c r="DK3" s="48" t="s">
        <v>46</v>
      </c>
    </row>
    <row r="4" spans="1:116">
      <c r="E4" s="48" t="s">
        <v>199</v>
      </c>
      <c r="F4" s="48"/>
      <c r="G4" s="48" t="s">
        <v>199</v>
      </c>
      <c r="H4" s="48" t="s">
        <v>199</v>
      </c>
      <c r="K4" s="48" t="s">
        <v>201</v>
      </c>
      <c r="M4" s="48" t="s">
        <v>200</v>
      </c>
      <c r="N4" t="s">
        <v>165</v>
      </c>
      <c r="O4" s="48" t="s">
        <v>201</v>
      </c>
      <c r="Q4" s="48" t="s">
        <v>201</v>
      </c>
      <c r="R4" s="48" t="s">
        <v>200</v>
      </c>
      <c r="S4" s="48" t="s">
        <v>200</v>
      </c>
      <c r="T4" s="48" t="s">
        <v>200</v>
      </c>
      <c r="U4" s="48" t="s">
        <v>200</v>
      </c>
      <c r="V4" s="48" t="s">
        <v>200</v>
      </c>
      <c r="W4" s="48" t="s">
        <v>200</v>
      </c>
      <c r="X4" s="48" t="s">
        <v>200</v>
      </c>
      <c r="Y4" s="48" t="s">
        <v>200</v>
      </c>
      <c r="Z4" s="48" t="s">
        <v>200</v>
      </c>
      <c r="AA4" s="48" t="s">
        <v>200</v>
      </c>
      <c r="AB4" s="48" t="s">
        <v>200</v>
      </c>
      <c r="AC4" s="48"/>
      <c r="AD4" s="48" t="s">
        <v>200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 t="s">
        <v>201</v>
      </c>
      <c r="AS4" s="48" t="s">
        <v>201</v>
      </c>
      <c r="AT4" s="48" t="s">
        <v>201</v>
      </c>
      <c r="AU4" s="48" t="s">
        <v>201</v>
      </c>
      <c r="AV4" s="48" t="s">
        <v>201</v>
      </c>
      <c r="AW4" s="48" t="s">
        <v>201</v>
      </c>
      <c r="AX4" s="48"/>
      <c r="AY4" s="48" t="s">
        <v>201</v>
      </c>
      <c r="AZ4" s="48" t="s">
        <v>201</v>
      </c>
      <c r="BA4" s="59" t="s">
        <v>201</v>
      </c>
      <c r="BB4" s="48" t="s">
        <v>201</v>
      </c>
      <c r="BC4" s="48" t="s">
        <v>201</v>
      </c>
      <c r="BD4" s="48" t="s">
        <v>201</v>
      </c>
      <c r="BE4" s="48" t="s">
        <v>201</v>
      </c>
      <c r="BF4">
        <v>0.02</v>
      </c>
      <c r="BH4" s="48" t="s">
        <v>0</v>
      </c>
      <c r="BJ4" s="48" t="s">
        <v>201</v>
      </c>
      <c r="BK4" s="48" t="s">
        <v>201</v>
      </c>
      <c r="BL4" s="59" t="s">
        <v>201</v>
      </c>
      <c r="BM4" s="48" t="s">
        <v>201</v>
      </c>
      <c r="BN4" s="48" t="s">
        <v>201</v>
      </c>
      <c r="BO4" s="48" t="s">
        <v>201</v>
      </c>
      <c r="BP4" s="48" t="s">
        <v>201</v>
      </c>
      <c r="BQ4" s="48" t="s">
        <v>201</v>
      </c>
      <c r="BR4" s="48" t="s">
        <v>201</v>
      </c>
      <c r="BS4" s="48" t="s">
        <v>201</v>
      </c>
      <c r="BT4" s="48" t="s">
        <v>201</v>
      </c>
      <c r="BU4" s="48" t="s">
        <v>201</v>
      </c>
      <c r="BV4" s="48" t="s">
        <v>201</v>
      </c>
      <c r="BW4" s="48" t="s">
        <v>201</v>
      </c>
      <c r="BX4" s="48" t="s">
        <v>201</v>
      </c>
      <c r="BY4" s="48" t="s">
        <v>201</v>
      </c>
      <c r="BZ4" s="48"/>
      <c r="CA4" s="48"/>
      <c r="CB4" s="48" t="s">
        <v>201</v>
      </c>
      <c r="CC4" s="48" t="s">
        <v>201</v>
      </c>
      <c r="CD4" s="48" t="s">
        <v>201</v>
      </c>
      <c r="CE4" s="48" t="s">
        <v>201</v>
      </c>
      <c r="CF4" s="48" t="s">
        <v>201</v>
      </c>
      <c r="CG4" s="48" t="s">
        <v>201</v>
      </c>
      <c r="CH4" s="48" t="s">
        <v>201</v>
      </c>
      <c r="CI4" s="48" t="s">
        <v>201</v>
      </c>
      <c r="CJ4" s="48"/>
      <c r="CK4" s="48"/>
      <c r="CL4" s="48" t="s">
        <v>192</v>
      </c>
      <c r="CQ4" s="48" t="s">
        <v>201</v>
      </c>
      <c r="CR4" s="48" t="s">
        <v>201</v>
      </c>
      <c r="CS4" s="48" t="s">
        <v>199</v>
      </c>
      <c r="CT4" s="48" t="s">
        <v>201</v>
      </c>
      <c r="CU4" s="48" t="s">
        <v>201</v>
      </c>
      <c r="CV4" s="48" t="s">
        <v>201</v>
      </c>
      <c r="CX4" s="48" t="s">
        <v>201</v>
      </c>
      <c r="CY4" s="48" t="s">
        <v>201</v>
      </c>
      <c r="CZ4" s="48" t="s">
        <v>200</v>
      </c>
      <c r="DA4" s="48" t="s">
        <v>201</v>
      </c>
      <c r="DB4" s="48" t="s">
        <v>201</v>
      </c>
      <c r="DC4" s="48" t="s">
        <v>201</v>
      </c>
      <c r="DD4" s="48" t="s">
        <v>201</v>
      </c>
      <c r="DE4" s="48" t="s">
        <v>201</v>
      </c>
      <c r="DF4" s="48"/>
      <c r="DG4" s="48" t="s">
        <v>200</v>
      </c>
      <c r="DH4" s="48"/>
      <c r="DI4" s="48" t="s">
        <v>199</v>
      </c>
      <c r="DJ4" s="48" t="s">
        <v>199</v>
      </c>
      <c r="DK4" s="48" t="s">
        <v>199</v>
      </c>
    </row>
    <row r="5" spans="1:116">
      <c r="E5">
        <v>1</v>
      </c>
      <c r="G5">
        <v>0.5</v>
      </c>
      <c r="H5">
        <v>0.1</v>
      </c>
      <c r="K5">
        <v>0.1</v>
      </c>
      <c r="M5">
        <v>0.02</v>
      </c>
      <c r="O5">
        <v>0.5</v>
      </c>
      <c r="Q5">
        <v>0.2</v>
      </c>
      <c r="R5">
        <v>0.01</v>
      </c>
      <c r="S5">
        <v>0.01</v>
      </c>
      <c r="T5">
        <v>0.04</v>
      </c>
      <c r="U5">
        <v>0.01</v>
      </c>
      <c r="V5">
        <v>0.01</v>
      </c>
      <c r="W5">
        <v>0.01</v>
      </c>
      <c r="X5">
        <v>0.01</v>
      </c>
      <c r="Y5">
        <v>0.01</v>
      </c>
      <c r="Z5">
        <v>0.01</v>
      </c>
      <c r="AA5">
        <v>0.01</v>
      </c>
      <c r="AB5">
        <v>-5.0999999999999996</v>
      </c>
      <c r="AD5">
        <v>0.01</v>
      </c>
      <c r="AR5">
        <v>1</v>
      </c>
      <c r="AS5">
        <v>1</v>
      </c>
      <c r="AT5">
        <v>0.1</v>
      </c>
      <c r="AU5">
        <v>0.1</v>
      </c>
      <c r="AV5">
        <v>0.1</v>
      </c>
      <c r="AW5">
        <v>0.2</v>
      </c>
      <c r="AY5">
        <v>0.1</v>
      </c>
      <c r="AZ5">
        <v>0.05</v>
      </c>
      <c r="BA5">
        <v>0.03</v>
      </c>
      <c r="BB5">
        <v>0.02</v>
      </c>
      <c r="BC5">
        <v>0.5</v>
      </c>
      <c r="BD5">
        <v>0.05</v>
      </c>
      <c r="BE5">
        <v>0.1</v>
      </c>
      <c r="BH5" s="48" t="s">
        <v>201</v>
      </c>
      <c r="BJ5">
        <v>0.01</v>
      </c>
      <c r="BK5">
        <v>0.1</v>
      </c>
      <c r="BL5">
        <v>0.1</v>
      </c>
      <c r="BM5">
        <v>0.3</v>
      </c>
      <c r="BN5">
        <v>20</v>
      </c>
      <c r="BO5">
        <v>0.1</v>
      </c>
      <c r="BP5">
        <v>0.02</v>
      </c>
      <c r="BQ5">
        <v>0.1</v>
      </c>
      <c r="BR5">
        <v>0.1</v>
      </c>
      <c r="BS5">
        <v>1</v>
      </c>
      <c r="BT5">
        <v>0.05</v>
      </c>
      <c r="BU5">
        <v>1</v>
      </c>
      <c r="BV5">
        <v>0.5</v>
      </c>
      <c r="BW5">
        <v>0.1</v>
      </c>
      <c r="BX5">
        <v>0.01</v>
      </c>
      <c r="BY5">
        <v>0.2</v>
      </c>
      <c r="CB5">
        <v>0.01</v>
      </c>
      <c r="CC5">
        <v>0.1</v>
      </c>
      <c r="CD5">
        <v>8</v>
      </c>
      <c r="CE5">
        <v>0.5</v>
      </c>
      <c r="CF5">
        <v>0.1</v>
      </c>
      <c r="CG5">
        <v>0.05</v>
      </c>
      <c r="CH5">
        <v>1</v>
      </c>
      <c r="CI5">
        <v>0.1</v>
      </c>
      <c r="CL5">
        <v>2E-3</v>
      </c>
      <c r="CQ5">
        <v>0.1</v>
      </c>
      <c r="CR5">
        <v>0.5</v>
      </c>
      <c r="CS5">
        <v>0.5</v>
      </c>
      <c r="CT5">
        <v>0.1</v>
      </c>
      <c r="CU5">
        <v>1</v>
      </c>
      <c r="CV5">
        <v>2</v>
      </c>
      <c r="CX5">
        <v>1</v>
      </c>
      <c r="CY5">
        <v>1</v>
      </c>
      <c r="CZ5">
        <v>1E-3</v>
      </c>
      <c r="DA5">
        <v>20</v>
      </c>
      <c r="DB5">
        <v>0.1</v>
      </c>
      <c r="DC5">
        <v>0.01</v>
      </c>
      <c r="DD5">
        <v>0.1</v>
      </c>
      <c r="DE5">
        <v>0.1</v>
      </c>
      <c r="DG5">
        <v>0.01</v>
      </c>
      <c r="DI5">
        <v>2</v>
      </c>
      <c r="DJ5">
        <v>3</v>
      </c>
      <c r="DK5">
        <v>2</v>
      </c>
    </row>
    <row r="6" spans="1:116">
      <c r="BH6">
        <v>0.1</v>
      </c>
    </row>
    <row r="7" spans="1:116">
      <c r="A7" s="49" t="s">
        <v>25</v>
      </c>
      <c r="B7" s="49"/>
      <c r="C7" s="49"/>
      <c r="D7" s="49"/>
      <c r="BF7" s="52">
        <v>0.1</v>
      </c>
    </row>
    <row r="8" spans="1:116">
      <c r="A8" t="s">
        <v>202</v>
      </c>
      <c r="B8" t="s">
        <v>203</v>
      </c>
      <c r="C8">
        <v>39.6</v>
      </c>
      <c r="E8" s="50">
        <v>600.5</v>
      </c>
      <c r="F8" s="50"/>
      <c r="G8" s="51">
        <v>1971</v>
      </c>
      <c r="H8" s="51">
        <v>768.55</v>
      </c>
      <c r="K8" s="50">
        <v>59800.000000000007</v>
      </c>
      <c r="L8" s="3">
        <v>6.2333333333333334</v>
      </c>
      <c r="M8" s="52">
        <v>38.5</v>
      </c>
      <c r="O8" s="51" t="s">
        <v>209</v>
      </c>
      <c r="Q8" s="51">
        <v>7.7</v>
      </c>
      <c r="R8" s="52">
        <v>0.08</v>
      </c>
      <c r="S8" s="52">
        <v>3.5</v>
      </c>
      <c r="T8" s="52">
        <v>49.52</v>
      </c>
      <c r="U8" s="52">
        <v>0.01</v>
      </c>
      <c r="V8" s="52">
        <v>0.76</v>
      </c>
      <c r="W8" s="52">
        <v>0.25</v>
      </c>
      <c r="X8" s="52">
        <v>0.01</v>
      </c>
      <c r="Y8" s="52">
        <v>0.02</v>
      </c>
      <c r="Z8" s="52">
        <v>0.66</v>
      </c>
      <c r="AA8" s="52">
        <v>0.03</v>
      </c>
      <c r="AB8" s="51">
        <v>26</v>
      </c>
      <c r="AC8" s="51">
        <f>SUM(R8:AA8)</f>
        <v>54.839999999999996</v>
      </c>
      <c r="AD8" s="52">
        <v>86.59</v>
      </c>
      <c r="AE8" s="52">
        <f>100/AC8</f>
        <v>1.8234865061998542</v>
      </c>
      <c r="AF8" s="52">
        <f>Z8*AE8</f>
        <v>1.2035010940919038</v>
      </c>
      <c r="AG8" s="52">
        <f>AE8*AA8</f>
        <v>5.4704595185995623E-2</v>
      </c>
      <c r="AH8" s="52">
        <f>AE8*R8</f>
        <v>0.14587892049598833</v>
      </c>
      <c r="AI8" s="52">
        <f>AE8*V8</f>
        <v>1.3858497447118892</v>
      </c>
      <c r="AJ8" s="52">
        <f>AE8*W8</f>
        <v>0.45587162654996355</v>
      </c>
      <c r="AK8" s="52">
        <f>AE8*T8</f>
        <v>90.299051787016779</v>
      </c>
      <c r="AL8" s="52">
        <f>AE8*S8</f>
        <v>6.3822027716994896</v>
      </c>
      <c r="AM8" s="52">
        <f>AE8*X8</f>
        <v>1.8234865061998541E-2</v>
      </c>
      <c r="AN8" s="52">
        <f>AE8*U8</f>
        <v>1.8234865061998541E-2</v>
      </c>
      <c r="AO8" s="52">
        <f>AE8*Y8</f>
        <v>3.6469730123997082E-2</v>
      </c>
      <c r="AP8" s="52"/>
      <c r="AQ8" s="52"/>
      <c r="AR8" s="50">
        <v>15</v>
      </c>
      <c r="AS8" s="50" t="s">
        <v>205</v>
      </c>
      <c r="AT8" s="51">
        <v>2.4</v>
      </c>
      <c r="AU8" s="51">
        <v>1.9</v>
      </c>
      <c r="AV8" s="51">
        <v>11.1</v>
      </c>
      <c r="AW8" s="51">
        <v>2041.8</v>
      </c>
      <c r="AX8" s="50"/>
      <c r="AY8" s="51" t="s">
        <v>206</v>
      </c>
      <c r="AZ8" s="52">
        <v>0.6</v>
      </c>
      <c r="BA8" s="3">
        <v>0.2</v>
      </c>
      <c r="BB8" s="52">
        <v>0.31</v>
      </c>
      <c r="BC8" s="51" t="s">
        <v>207</v>
      </c>
      <c r="BD8" s="52">
        <v>0.75</v>
      </c>
      <c r="BE8" s="51" t="s">
        <v>206</v>
      </c>
      <c r="BF8" s="52">
        <v>0.09</v>
      </c>
      <c r="BJ8" s="52">
        <v>0.03</v>
      </c>
      <c r="BK8" s="51">
        <v>2.7</v>
      </c>
      <c r="BL8" s="60">
        <v>2.6</v>
      </c>
      <c r="BM8" s="51">
        <v>4.3</v>
      </c>
      <c r="BN8" s="50">
        <v>59800.000000000007</v>
      </c>
      <c r="BO8" s="51">
        <v>274.39999999999998</v>
      </c>
      <c r="BP8" s="52">
        <v>1.27</v>
      </c>
      <c r="BQ8" s="51">
        <v>0.9</v>
      </c>
      <c r="BR8" s="51">
        <v>19.100000000000001</v>
      </c>
      <c r="BS8" s="50">
        <v>1</v>
      </c>
      <c r="BT8" s="52">
        <v>0.79</v>
      </c>
      <c r="BU8" s="50">
        <v>2</v>
      </c>
      <c r="BV8" s="51">
        <v>41.4</v>
      </c>
      <c r="BW8" s="51" t="s">
        <v>206</v>
      </c>
      <c r="BX8" s="52">
        <v>0.11</v>
      </c>
      <c r="BY8" s="51">
        <v>0.4</v>
      </c>
      <c r="BZ8" s="53"/>
      <c r="CA8" s="53"/>
      <c r="CB8" s="52">
        <v>0.03</v>
      </c>
      <c r="CC8" s="51" t="s">
        <v>206</v>
      </c>
      <c r="CD8" s="50">
        <v>19</v>
      </c>
      <c r="CE8" s="51" t="s">
        <v>207</v>
      </c>
      <c r="CF8" s="51">
        <v>3.1</v>
      </c>
      <c r="CG8" s="52">
        <v>0.19</v>
      </c>
      <c r="CH8" s="50">
        <v>185</v>
      </c>
      <c r="CI8" s="51">
        <v>3.2</v>
      </c>
      <c r="CJ8" s="53"/>
      <c r="CK8" s="53"/>
      <c r="CL8" s="53">
        <v>0.01</v>
      </c>
      <c r="CQ8" s="51">
        <v>14.9</v>
      </c>
      <c r="CR8" s="51">
        <v>372.4</v>
      </c>
      <c r="CS8" s="51">
        <v>617.5</v>
      </c>
      <c r="CT8" s="51">
        <v>0.3</v>
      </c>
      <c r="CU8" s="50">
        <v>43</v>
      </c>
      <c r="CV8" s="50">
        <v>26</v>
      </c>
      <c r="CX8" s="50">
        <v>34</v>
      </c>
      <c r="CY8" s="50">
        <v>8</v>
      </c>
      <c r="CZ8" s="53">
        <v>2E-3</v>
      </c>
      <c r="DA8" s="54" t="s">
        <v>208</v>
      </c>
      <c r="DB8" s="51" t="s">
        <v>206</v>
      </c>
      <c r="DC8" s="52">
        <v>0.09</v>
      </c>
      <c r="DD8" s="51">
        <v>0.1</v>
      </c>
      <c r="DE8" s="51">
        <v>0.2</v>
      </c>
      <c r="DG8" s="52">
        <v>5.98</v>
      </c>
      <c r="DH8" s="52">
        <v>59800.000000000007</v>
      </c>
      <c r="DI8" s="50">
        <v>607</v>
      </c>
      <c r="DJ8" s="50">
        <v>794</v>
      </c>
      <c r="DK8" s="50">
        <v>1971</v>
      </c>
      <c r="DL8" s="1"/>
    </row>
    <row r="9" spans="1:116">
      <c r="A9" t="s">
        <v>210</v>
      </c>
      <c r="B9" t="s">
        <v>203</v>
      </c>
      <c r="C9">
        <v>41.32</v>
      </c>
      <c r="E9" s="50">
        <v>516</v>
      </c>
      <c r="F9" s="50"/>
      <c r="G9" s="51">
        <v>861.2</v>
      </c>
      <c r="H9" s="51">
        <v>576.6</v>
      </c>
      <c r="K9" s="50">
        <v>66900</v>
      </c>
      <c r="L9" s="3">
        <v>4.8400000000000007</v>
      </c>
      <c r="M9" s="52">
        <v>36.4</v>
      </c>
      <c r="O9" s="51" t="s">
        <v>209</v>
      </c>
      <c r="Q9" s="51">
        <v>6.3</v>
      </c>
      <c r="R9" s="52">
        <v>0.04</v>
      </c>
      <c r="S9" s="52">
        <v>2.85</v>
      </c>
      <c r="T9" s="52">
        <v>47.96</v>
      </c>
      <c r="U9" s="52" t="s">
        <v>159</v>
      </c>
      <c r="V9" s="52">
        <v>0.56999999999999995</v>
      </c>
      <c r="W9" s="52">
        <v>0.15</v>
      </c>
      <c r="X9" s="52" t="s">
        <v>159</v>
      </c>
      <c r="Y9" s="52">
        <v>0.02</v>
      </c>
      <c r="Z9" s="52">
        <v>0.25</v>
      </c>
      <c r="AA9" s="52" t="s">
        <v>159</v>
      </c>
      <c r="AB9" s="51">
        <v>25.3</v>
      </c>
      <c r="AC9" s="51">
        <f t="shared" ref="AC9:AC31" si="0">SUM(R9:AA9)</f>
        <v>51.84</v>
      </c>
      <c r="AD9" s="52">
        <v>84.89</v>
      </c>
      <c r="AE9" s="52">
        <f t="shared" ref="AE9:AE31" si="1">100/AC9</f>
        <v>1.9290123456790123</v>
      </c>
      <c r="AF9" s="52">
        <f t="shared" ref="AF9:AF31" si="2">Z9*AE9</f>
        <v>0.48225308641975306</v>
      </c>
      <c r="AG9" s="52" t="e">
        <f t="shared" ref="AG9:AG31" si="3">AE9*AA9</f>
        <v>#VALUE!</v>
      </c>
      <c r="AH9" s="52">
        <f t="shared" ref="AH9:AH31" si="4">AE9*R9</f>
        <v>7.716049382716049E-2</v>
      </c>
      <c r="AI9" s="52">
        <f t="shared" ref="AI9:AI31" si="5">AE9*V9</f>
        <v>1.099537037037037</v>
      </c>
      <c r="AJ9" s="52">
        <f t="shared" ref="AJ9:AJ31" si="6">AE9*W9</f>
        <v>0.2893518518518518</v>
      </c>
      <c r="AK9" s="52">
        <f t="shared" ref="AK9:AK31" si="7">AE9*T9</f>
        <v>92.51543209876543</v>
      </c>
      <c r="AL9" s="52">
        <f t="shared" ref="AL9:AL31" si="8">AE9*S9</f>
        <v>5.4976851851851851</v>
      </c>
      <c r="AM9" s="52" t="e">
        <f t="shared" ref="AM9:AM31" si="9">AE9*X9</f>
        <v>#VALUE!</v>
      </c>
      <c r="AN9" s="52" t="e">
        <f t="shared" ref="AN9:AN31" si="10">AE9*U9</f>
        <v>#VALUE!</v>
      </c>
      <c r="AO9" s="52">
        <f t="shared" ref="AO9:AO31" si="11">AE9*Y9</f>
        <v>3.8580246913580245E-2</v>
      </c>
      <c r="AP9" s="52"/>
      <c r="AQ9" s="52"/>
      <c r="AR9" s="50">
        <v>2</v>
      </c>
      <c r="AS9" s="50" t="s">
        <v>205</v>
      </c>
      <c r="AT9" s="51">
        <v>1.1000000000000001</v>
      </c>
      <c r="AU9" s="51">
        <v>1.2</v>
      </c>
      <c r="AV9" s="51">
        <v>6.6</v>
      </c>
      <c r="AW9" s="51">
        <v>2012.7</v>
      </c>
      <c r="AX9" s="50"/>
      <c r="AY9" s="51" t="s">
        <v>206</v>
      </c>
      <c r="AZ9" s="52">
        <v>0.54</v>
      </c>
      <c r="BA9" s="3">
        <v>0.28000000000000003</v>
      </c>
      <c r="BB9" s="52">
        <v>0.17</v>
      </c>
      <c r="BC9" s="51" t="s">
        <v>207</v>
      </c>
      <c r="BD9" s="52">
        <v>0.59</v>
      </c>
      <c r="BE9" s="51" t="s">
        <v>206</v>
      </c>
      <c r="BF9" s="52">
        <v>0.74</v>
      </c>
      <c r="BH9" s="51">
        <v>6</v>
      </c>
      <c r="BJ9" s="52">
        <v>0.01</v>
      </c>
      <c r="BK9" s="51">
        <v>1.9</v>
      </c>
      <c r="BL9" s="60">
        <v>0.5</v>
      </c>
      <c r="BM9" s="51">
        <v>2.8</v>
      </c>
      <c r="BN9" s="50">
        <v>81199.999999999985</v>
      </c>
      <c r="BO9" s="51">
        <v>189.7</v>
      </c>
      <c r="BP9" s="52">
        <v>0.78</v>
      </c>
      <c r="BQ9" s="51">
        <v>0.2</v>
      </c>
      <c r="BR9" s="51">
        <v>12.2</v>
      </c>
      <c r="BS9" s="50" t="s">
        <v>205</v>
      </c>
      <c r="BT9" s="52">
        <v>0.53</v>
      </c>
      <c r="BU9" s="50">
        <v>2</v>
      </c>
      <c r="BV9" s="51">
        <v>36.6</v>
      </c>
      <c r="BW9" s="51" t="s">
        <v>206</v>
      </c>
      <c r="BX9" s="52">
        <v>0.1</v>
      </c>
      <c r="BY9" s="51" t="s">
        <v>211</v>
      </c>
      <c r="BZ9" s="53"/>
      <c r="CA9" s="53"/>
      <c r="CB9" s="52">
        <v>0.03</v>
      </c>
      <c r="CC9" s="51" t="s">
        <v>206</v>
      </c>
      <c r="CD9" s="50">
        <v>18</v>
      </c>
      <c r="CE9" s="51" t="s">
        <v>207</v>
      </c>
      <c r="CF9" s="51">
        <v>3.1</v>
      </c>
      <c r="CG9" s="52">
        <v>0.18</v>
      </c>
      <c r="CH9" s="50">
        <v>83</v>
      </c>
      <c r="CI9" s="51">
        <v>1.1000000000000001</v>
      </c>
      <c r="CJ9" s="53"/>
      <c r="CK9" s="53"/>
      <c r="CL9" s="53">
        <v>1.4999999999999999E-2</v>
      </c>
      <c r="CQ9" s="51">
        <v>12.2</v>
      </c>
      <c r="CR9" s="51">
        <v>328.1</v>
      </c>
      <c r="CS9" s="51">
        <v>575.20000000000005</v>
      </c>
      <c r="CT9" s="51" t="s">
        <v>206</v>
      </c>
      <c r="CU9" s="50">
        <v>38</v>
      </c>
      <c r="CV9" s="50">
        <v>29</v>
      </c>
      <c r="CX9" s="50">
        <v>24</v>
      </c>
      <c r="CY9" s="50">
        <v>4</v>
      </c>
      <c r="CZ9" s="53" t="s">
        <v>212</v>
      </c>
      <c r="DA9" s="54" t="s">
        <v>208</v>
      </c>
      <c r="DB9" s="51" t="s">
        <v>206</v>
      </c>
      <c r="DC9" s="52">
        <v>0.11</v>
      </c>
      <c r="DD9" s="51" t="s">
        <v>206</v>
      </c>
      <c r="DE9" s="51">
        <v>0.3</v>
      </c>
      <c r="DG9" s="52">
        <v>8.1199999999999992</v>
      </c>
      <c r="DH9" s="52">
        <v>81199.999999999985</v>
      </c>
      <c r="DI9" s="48" t="s">
        <v>213</v>
      </c>
      <c r="DJ9" s="48" t="s">
        <v>213</v>
      </c>
      <c r="DK9" s="48" t="s">
        <v>213</v>
      </c>
      <c r="DL9" s="1"/>
    </row>
    <row r="10" spans="1:116">
      <c r="A10" t="s">
        <v>214</v>
      </c>
      <c r="B10" t="s">
        <v>215</v>
      </c>
      <c r="C10">
        <v>48.35</v>
      </c>
      <c r="E10" s="50">
        <v>9</v>
      </c>
      <c r="F10" s="50"/>
      <c r="G10" s="51">
        <v>6.6</v>
      </c>
      <c r="H10" s="51">
        <v>4.0999999999999996</v>
      </c>
      <c r="K10" s="50">
        <v>388.1</v>
      </c>
      <c r="L10" s="3">
        <v>3.7033333333333331</v>
      </c>
      <c r="M10" s="52">
        <v>0.28999999999999998</v>
      </c>
      <c r="O10" s="51">
        <v>1.3</v>
      </c>
      <c r="Q10" s="51" t="s">
        <v>211</v>
      </c>
      <c r="R10" s="52">
        <v>15.09</v>
      </c>
      <c r="S10" s="52">
        <v>4.03</v>
      </c>
      <c r="T10" s="52">
        <v>12.14</v>
      </c>
      <c r="U10" s="52">
        <v>1.1000000000000001</v>
      </c>
      <c r="V10" s="52">
        <v>12</v>
      </c>
      <c r="W10" s="52">
        <v>0.23</v>
      </c>
      <c r="X10" s="52">
        <v>1.48</v>
      </c>
      <c r="Y10" s="52">
        <v>0.04</v>
      </c>
      <c r="Z10" s="52">
        <v>43.68</v>
      </c>
      <c r="AA10" s="52">
        <v>0.83</v>
      </c>
      <c r="AB10" s="51">
        <v>8.8000000000000007</v>
      </c>
      <c r="AC10" s="51">
        <f t="shared" si="0"/>
        <v>90.61999999999999</v>
      </c>
      <c r="AD10" s="52">
        <v>99.61</v>
      </c>
      <c r="AE10" s="52">
        <f t="shared" si="1"/>
        <v>1.1035091591260209</v>
      </c>
      <c r="AF10" s="52">
        <f t="shared" si="2"/>
        <v>48.201280070624591</v>
      </c>
      <c r="AG10" s="52">
        <f t="shared" si="3"/>
        <v>0.91591260207459724</v>
      </c>
      <c r="AH10" s="52">
        <f t="shared" si="4"/>
        <v>16.651953211211655</v>
      </c>
      <c r="AI10" s="52">
        <f t="shared" si="5"/>
        <v>13.242109909512251</v>
      </c>
      <c r="AJ10" s="52">
        <f t="shared" si="6"/>
        <v>0.25380710659898481</v>
      </c>
      <c r="AK10" s="52">
        <f t="shared" si="7"/>
        <v>13.396601191789895</v>
      </c>
      <c r="AL10" s="52">
        <f t="shared" si="8"/>
        <v>4.4471419112778641</v>
      </c>
      <c r="AM10" s="52">
        <f t="shared" si="9"/>
        <v>1.6331935555065109</v>
      </c>
      <c r="AN10" s="52">
        <f t="shared" si="10"/>
        <v>1.213860075038623</v>
      </c>
      <c r="AO10" s="52">
        <f t="shared" si="11"/>
        <v>4.4140366365040838E-2</v>
      </c>
      <c r="AP10" s="52"/>
      <c r="AQ10" s="52"/>
      <c r="AR10" s="50">
        <v>526</v>
      </c>
      <c r="AS10" s="50" t="s">
        <v>205</v>
      </c>
      <c r="AT10" s="51" t="s">
        <v>206</v>
      </c>
      <c r="AU10" s="51" t="s">
        <v>206</v>
      </c>
      <c r="AV10" s="51">
        <v>11.1</v>
      </c>
      <c r="AW10" s="51">
        <v>75.5</v>
      </c>
      <c r="AX10" s="50"/>
      <c r="AY10" s="51">
        <v>8.6999999999999993</v>
      </c>
      <c r="AZ10" s="52">
        <v>3.67</v>
      </c>
      <c r="BA10" s="3">
        <v>2.2400000000000002</v>
      </c>
      <c r="BB10" s="52">
        <v>0.68</v>
      </c>
      <c r="BC10" s="51">
        <v>13.7</v>
      </c>
      <c r="BD10" s="52">
        <v>2.69</v>
      </c>
      <c r="BE10" s="51">
        <v>1.5</v>
      </c>
      <c r="BF10" s="52">
        <v>0.75</v>
      </c>
      <c r="BH10" s="51">
        <v>6.3</v>
      </c>
      <c r="BJ10" s="52">
        <v>0.31</v>
      </c>
      <c r="BK10" s="51">
        <v>0.2</v>
      </c>
      <c r="BL10" s="60">
        <v>3.1</v>
      </c>
      <c r="BM10" s="51">
        <v>6.5</v>
      </c>
      <c r="BN10" s="50">
        <v>602</v>
      </c>
      <c r="BO10" s="51">
        <v>3.3</v>
      </c>
      <c r="BP10" s="52">
        <v>1.36</v>
      </c>
      <c r="BQ10" s="51">
        <v>44.2</v>
      </c>
      <c r="BR10" s="51" t="s">
        <v>206</v>
      </c>
      <c r="BS10" s="50">
        <v>36</v>
      </c>
      <c r="BT10" s="52">
        <v>1.78</v>
      </c>
      <c r="BU10" s="50" t="s">
        <v>205</v>
      </c>
      <c r="BV10" s="51">
        <v>142.30000000000001</v>
      </c>
      <c r="BW10" s="51">
        <v>0.1</v>
      </c>
      <c r="BX10" s="52">
        <v>0.5</v>
      </c>
      <c r="BY10" s="51">
        <v>1</v>
      </c>
      <c r="BZ10" s="53"/>
      <c r="CA10" s="53"/>
      <c r="CB10" s="52">
        <v>0.34</v>
      </c>
      <c r="CC10" s="51">
        <v>0.4</v>
      </c>
      <c r="CD10" s="50">
        <v>260</v>
      </c>
      <c r="CE10" s="51" t="s">
        <v>207</v>
      </c>
      <c r="CF10" s="51">
        <v>19.399999999999999</v>
      </c>
      <c r="CG10" s="52">
        <v>2.06</v>
      </c>
      <c r="CH10" s="50">
        <v>73</v>
      </c>
      <c r="CI10" s="51">
        <v>50.1</v>
      </c>
      <c r="CJ10" s="53"/>
      <c r="CK10" s="53"/>
      <c r="CL10" s="53">
        <v>7.1999999999999995E-2</v>
      </c>
      <c r="CQ10" s="51" t="s">
        <v>206</v>
      </c>
      <c r="CR10" s="51">
        <v>3</v>
      </c>
      <c r="CS10" s="51">
        <v>1.9</v>
      </c>
      <c r="CT10" s="51">
        <v>0.4</v>
      </c>
      <c r="CU10" s="50">
        <v>76</v>
      </c>
      <c r="CV10" s="50">
        <v>175</v>
      </c>
      <c r="CX10" s="50">
        <v>357</v>
      </c>
      <c r="CY10" s="50">
        <v>295</v>
      </c>
      <c r="CZ10" s="53">
        <v>8.9999999999999993E-3</v>
      </c>
      <c r="DA10" s="54" t="s">
        <v>208</v>
      </c>
      <c r="DB10" s="51" t="s">
        <v>206</v>
      </c>
      <c r="DC10" s="52" t="s">
        <v>159</v>
      </c>
      <c r="DD10" s="51">
        <v>17.600000000000001</v>
      </c>
      <c r="DE10" s="51" t="s">
        <v>206</v>
      </c>
      <c r="DF10" s="50"/>
      <c r="DG10" s="48" t="s">
        <v>213</v>
      </c>
      <c r="DH10" s="52"/>
      <c r="DI10" s="48" t="s">
        <v>213</v>
      </c>
      <c r="DJ10" s="48" t="s">
        <v>213</v>
      </c>
      <c r="DK10" s="48" t="s">
        <v>213</v>
      </c>
      <c r="DL10" s="1">
        <v>2307.6923076923076</v>
      </c>
    </row>
    <row r="11" spans="1:116">
      <c r="A11" t="s">
        <v>216</v>
      </c>
      <c r="B11" t="s">
        <v>215</v>
      </c>
      <c r="C11">
        <v>49.52</v>
      </c>
      <c r="E11" s="50">
        <v>6</v>
      </c>
      <c r="F11" s="50"/>
      <c r="G11" s="51">
        <v>1.8</v>
      </c>
      <c r="H11" s="51">
        <v>1</v>
      </c>
      <c r="K11" s="50">
        <v>149.80000000000001</v>
      </c>
      <c r="L11" s="3">
        <v>4.62</v>
      </c>
      <c r="M11" s="52">
        <v>0.27</v>
      </c>
      <c r="O11" s="51" t="s">
        <v>207</v>
      </c>
      <c r="Q11" s="51" t="s">
        <v>211</v>
      </c>
      <c r="R11" s="52">
        <v>15.76</v>
      </c>
      <c r="S11" s="52">
        <v>5.39</v>
      </c>
      <c r="T11" s="52">
        <v>10.23</v>
      </c>
      <c r="U11" s="52">
        <v>1.44</v>
      </c>
      <c r="V11" s="52">
        <v>9.57</v>
      </c>
      <c r="W11" s="52">
        <v>0.2</v>
      </c>
      <c r="X11" s="52">
        <v>2.2599999999999998</v>
      </c>
      <c r="Y11" s="52">
        <v>0.06</v>
      </c>
      <c r="Z11" s="52">
        <v>44.71</v>
      </c>
      <c r="AA11" s="52">
        <v>0.93</v>
      </c>
      <c r="AB11" s="51">
        <v>9.1</v>
      </c>
      <c r="AC11" s="51">
        <f t="shared" si="0"/>
        <v>90.550000000000011</v>
      </c>
      <c r="AD11" s="52">
        <v>99.7</v>
      </c>
      <c r="AE11" s="52">
        <f t="shared" si="1"/>
        <v>1.104362230811706</v>
      </c>
      <c r="AF11" s="52">
        <f t="shared" si="2"/>
        <v>49.376035339591375</v>
      </c>
      <c r="AG11" s="52">
        <f t="shared" si="3"/>
        <v>1.0270568746548867</v>
      </c>
      <c r="AH11" s="52">
        <f t="shared" si="4"/>
        <v>17.404748757592486</v>
      </c>
      <c r="AI11" s="52">
        <f t="shared" si="5"/>
        <v>10.568746548868027</v>
      </c>
      <c r="AJ11" s="52">
        <f t="shared" si="6"/>
        <v>0.22087244616234122</v>
      </c>
      <c r="AK11" s="52">
        <f t="shared" si="7"/>
        <v>11.297625621203753</v>
      </c>
      <c r="AL11" s="52">
        <f t="shared" si="8"/>
        <v>5.9525124240750955</v>
      </c>
      <c r="AM11" s="52">
        <f t="shared" si="9"/>
        <v>2.4958586416344555</v>
      </c>
      <c r="AN11" s="52">
        <f t="shared" si="10"/>
        <v>1.5902816123688566</v>
      </c>
      <c r="AO11" s="52">
        <f t="shared" si="11"/>
        <v>6.6261733848702362E-2</v>
      </c>
      <c r="AP11" s="52"/>
      <c r="AQ11" s="52"/>
      <c r="AR11" s="50">
        <v>318</v>
      </c>
      <c r="AS11" s="50">
        <v>1</v>
      </c>
      <c r="AT11" s="51" t="s">
        <v>206</v>
      </c>
      <c r="AU11" s="51" t="s">
        <v>206</v>
      </c>
      <c r="AV11" s="51">
        <v>11</v>
      </c>
      <c r="AW11" s="51">
        <v>53.1</v>
      </c>
      <c r="AX11" s="50"/>
      <c r="AY11" s="51">
        <v>9.4</v>
      </c>
      <c r="AZ11" s="52">
        <v>3.15</v>
      </c>
      <c r="BA11" s="3">
        <v>2.36</v>
      </c>
      <c r="BB11" s="52">
        <v>0.82</v>
      </c>
      <c r="BC11" s="51">
        <v>13.5</v>
      </c>
      <c r="BD11" s="52">
        <v>2.83</v>
      </c>
      <c r="BE11" s="51">
        <v>1.6</v>
      </c>
      <c r="BF11" s="52">
        <v>0.13</v>
      </c>
      <c r="BH11" s="51">
        <v>4.5</v>
      </c>
      <c r="BJ11" s="52">
        <v>0.32</v>
      </c>
      <c r="BK11" s="51">
        <v>0.2</v>
      </c>
      <c r="BL11" s="60">
        <v>3.1</v>
      </c>
      <c r="BM11" s="51">
        <v>7.6</v>
      </c>
      <c r="BN11" s="50">
        <v>190</v>
      </c>
      <c r="BO11" s="51">
        <v>2</v>
      </c>
      <c r="BP11" s="52">
        <v>1.52</v>
      </c>
      <c r="BQ11" s="51">
        <v>57.7</v>
      </c>
      <c r="BR11" s="51" t="s">
        <v>206</v>
      </c>
      <c r="BS11" s="50">
        <v>41</v>
      </c>
      <c r="BT11" s="52">
        <v>2.41</v>
      </c>
      <c r="BU11" s="50" t="s">
        <v>205</v>
      </c>
      <c r="BV11" s="51">
        <v>183.4</v>
      </c>
      <c r="BW11" s="51">
        <v>0.2</v>
      </c>
      <c r="BX11" s="52">
        <v>0.57999999999999996</v>
      </c>
      <c r="BY11" s="51">
        <v>1.1000000000000001</v>
      </c>
      <c r="BZ11" s="53"/>
      <c r="CA11" s="53"/>
      <c r="CB11" s="52">
        <v>0.27</v>
      </c>
      <c r="CC11" s="51">
        <v>0.4</v>
      </c>
      <c r="CD11" s="50">
        <v>281</v>
      </c>
      <c r="CE11" s="51">
        <v>0.6</v>
      </c>
      <c r="CF11" s="51">
        <v>19.899999999999999</v>
      </c>
      <c r="CG11" s="52">
        <v>2.5</v>
      </c>
      <c r="CH11" s="50">
        <v>76</v>
      </c>
      <c r="CI11" s="51">
        <v>55.4</v>
      </c>
      <c r="CJ11" s="53"/>
      <c r="CK11" s="53"/>
      <c r="CL11" s="53">
        <v>4.3999999999999997E-2</v>
      </c>
      <c r="CQ11" s="51" t="s">
        <v>206</v>
      </c>
      <c r="CR11" s="51">
        <v>1.8</v>
      </c>
      <c r="CS11" s="51">
        <v>2.5</v>
      </c>
      <c r="CT11" s="51">
        <v>0.3</v>
      </c>
      <c r="CU11" s="50">
        <v>93</v>
      </c>
      <c r="CV11" s="50">
        <v>173</v>
      </c>
      <c r="CX11" s="50">
        <v>254</v>
      </c>
      <c r="CY11" s="50">
        <v>154</v>
      </c>
      <c r="CZ11" s="53">
        <v>8.0000000000000002E-3</v>
      </c>
      <c r="DA11" s="54" t="s">
        <v>208</v>
      </c>
      <c r="DB11" s="51" t="s">
        <v>206</v>
      </c>
      <c r="DC11" s="52" t="s">
        <v>159</v>
      </c>
      <c r="DD11" s="51">
        <v>20.399999999999999</v>
      </c>
      <c r="DE11" s="51" t="s">
        <v>206</v>
      </c>
      <c r="DF11" s="50"/>
      <c r="DG11" s="48" t="s">
        <v>213</v>
      </c>
      <c r="DH11" s="52"/>
      <c r="DI11" s="48" t="s">
        <v>213</v>
      </c>
      <c r="DJ11" s="48" t="s">
        <v>213</v>
      </c>
      <c r="DK11" s="48" t="s">
        <v>213</v>
      </c>
      <c r="DL11" s="1"/>
    </row>
    <row r="12" spans="1:116">
      <c r="A12" t="s">
        <v>217</v>
      </c>
      <c r="B12" t="s">
        <v>215</v>
      </c>
      <c r="C12">
        <v>65.3</v>
      </c>
      <c r="E12" s="50">
        <v>723.5</v>
      </c>
      <c r="F12" s="50"/>
      <c r="G12" s="51">
        <v>658.3</v>
      </c>
      <c r="H12" s="51">
        <v>1057</v>
      </c>
      <c r="K12" s="50">
        <v>32900</v>
      </c>
      <c r="L12" s="3">
        <v>8.69</v>
      </c>
      <c r="M12" s="52">
        <v>34.5</v>
      </c>
      <c r="O12" s="51" t="s">
        <v>209</v>
      </c>
      <c r="Q12" s="51">
        <v>9.1999999999999993</v>
      </c>
      <c r="R12" s="52">
        <v>0.1</v>
      </c>
      <c r="S12" s="52">
        <v>2.2400000000000002</v>
      </c>
      <c r="T12" s="52">
        <v>49.11</v>
      </c>
      <c r="U12" s="52" t="s">
        <v>159</v>
      </c>
      <c r="V12" s="52">
        <v>1.34</v>
      </c>
      <c r="W12" s="52">
        <v>0.26</v>
      </c>
      <c r="X12" s="52" t="s">
        <v>159</v>
      </c>
      <c r="Y12" s="52">
        <v>0.02</v>
      </c>
      <c r="Z12" s="52">
        <v>2.9</v>
      </c>
      <c r="AA12" s="52" t="s">
        <v>159</v>
      </c>
      <c r="AB12" s="51">
        <v>27.9</v>
      </c>
      <c r="AC12" s="51">
        <f t="shared" si="0"/>
        <v>55.970000000000006</v>
      </c>
      <c r="AD12" s="52">
        <v>90.75</v>
      </c>
      <c r="AE12" s="52">
        <f t="shared" si="1"/>
        <v>1.7866714311238161</v>
      </c>
      <c r="AF12" s="52">
        <f t="shared" si="2"/>
        <v>5.1813471502590662</v>
      </c>
      <c r="AG12" s="52" t="e">
        <f t="shared" si="3"/>
        <v>#VALUE!</v>
      </c>
      <c r="AH12" s="52">
        <f t="shared" si="4"/>
        <v>0.17866714311238163</v>
      </c>
      <c r="AI12" s="52">
        <f t="shared" si="5"/>
        <v>2.3941397177059138</v>
      </c>
      <c r="AJ12" s="52">
        <f t="shared" si="6"/>
        <v>0.46453457209219218</v>
      </c>
      <c r="AK12" s="52">
        <f t="shared" si="7"/>
        <v>87.743433982490615</v>
      </c>
      <c r="AL12" s="52">
        <f t="shared" si="8"/>
        <v>4.0021440057173487</v>
      </c>
      <c r="AM12" s="52" t="e">
        <f t="shared" si="9"/>
        <v>#VALUE!</v>
      </c>
      <c r="AN12" s="52" t="e">
        <f t="shared" si="10"/>
        <v>#VALUE!</v>
      </c>
      <c r="AO12" s="52">
        <f t="shared" si="11"/>
        <v>3.5733428622476325E-2</v>
      </c>
      <c r="AP12" s="52"/>
      <c r="AQ12" s="52"/>
      <c r="AR12" s="50">
        <v>5</v>
      </c>
      <c r="AS12" s="50" t="s">
        <v>205</v>
      </c>
      <c r="AT12" s="51">
        <v>4</v>
      </c>
      <c r="AU12" s="51">
        <v>5.4</v>
      </c>
      <c r="AV12" s="51">
        <v>3.1</v>
      </c>
      <c r="AW12" s="51">
        <v>2076.6999999999998</v>
      </c>
      <c r="AX12" s="50"/>
      <c r="AY12" s="51">
        <v>0.1</v>
      </c>
      <c r="AZ12" s="52">
        <v>0.72</v>
      </c>
      <c r="BA12" s="3">
        <v>0.35</v>
      </c>
      <c r="BB12" s="52">
        <v>0.23</v>
      </c>
      <c r="BC12" s="51" t="s">
        <v>207</v>
      </c>
      <c r="BD12" s="52">
        <v>0.73</v>
      </c>
      <c r="BE12" s="51" t="s">
        <v>206</v>
      </c>
      <c r="BF12" s="52">
        <v>0.22</v>
      </c>
      <c r="BH12" s="51">
        <v>5.2</v>
      </c>
      <c r="BJ12" s="52">
        <v>0.04</v>
      </c>
      <c r="BK12" s="51">
        <v>5.0999999999999996</v>
      </c>
      <c r="BL12" s="60" t="s">
        <v>206</v>
      </c>
      <c r="BM12" s="51">
        <v>1.7</v>
      </c>
      <c r="BN12" s="50">
        <v>70200</v>
      </c>
      <c r="BO12" s="51">
        <v>99.6</v>
      </c>
      <c r="BP12" s="52">
        <v>0.38</v>
      </c>
      <c r="BQ12" s="51">
        <v>0.4</v>
      </c>
      <c r="BR12" s="51">
        <v>5.0999999999999996</v>
      </c>
      <c r="BS12" s="50" t="s">
        <v>205</v>
      </c>
      <c r="BT12" s="52">
        <v>0.51</v>
      </c>
      <c r="BU12" s="50">
        <v>2</v>
      </c>
      <c r="BV12" s="51">
        <v>52.8</v>
      </c>
      <c r="BW12" s="51" t="s">
        <v>206</v>
      </c>
      <c r="BX12" s="52">
        <v>0.11</v>
      </c>
      <c r="BY12" s="51" t="s">
        <v>211</v>
      </c>
      <c r="BZ12" s="53"/>
      <c r="CA12" s="53"/>
      <c r="CB12" s="52">
        <v>0.05</v>
      </c>
      <c r="CC12" s="51" t="s">
        <v>206</v>
      </c>
      <c r="CD12" s="50">
        <v>27</v>
      </c>
      <c r="CE12" s="51" t="s">
        <v>207</v>
      </c>
      <c r="CF12" s="51">
        <v>5.5</v>
      </c>
      <c r="CG12" s="52">
        <v>0.3</v>
      </c>
      <c r="CH12" s="50">
        <v>162</v>
      </c>
      <c r="CI12" s="51">
        <v>0.6</v>
      </c>
      <c r="CJ12" s="53"/>
      <c r="CK12" s="53"/>
      <c r="CL12" s="53">
        <v>2E-3</v>
      </c>
      <c r="CQ12" s="51">
        <v>13</v>
      </c>
      <c r="CR12" s="51">
        <v>84.7</v>
      </c>
      <c r="CS12" s="51">
        <v>794.9</v>
      </c>
      <c r="CT12" s="51" t="s">
        <v>206</v>
      </c>
      <c r="CU12" s="50">
        <v>57</v>
      </c>
      <c r="CV12" s="50">
        <v>39</v>
      </c>
      <c r="CX12" s="50">
        <v>2</v>
      </c>
      <c r="CY12" s="50">
        <v>4</v>
      </c>
      <c r="CZ12" s="53" t="s">
        <v>212</v>
      </c>
      <c r="DA12" s="54" t="s">
        <v>208</v>
      </c>
      <c r="DB12" s="51" t="s">
        <v>206</v>
      </c>
      <c r="DC12" s="52">
        <v>0.12</v>
      </c>
      <c r="DD12" s="51" t="s">
        <v>206</v>
      </c>
      <c r="DE12" s="51">
        <v>0.3</v>
      </c>
      <c r="DG12" s="52">
        <v>7.02</v>
      </c>
      <c r="DH12" s="52">
        <v>70200</v>
      </c>
      <c r="DI12" s="50">
        <v>734</v>
      </c>
      <c r="DJ12" s="50">
        <v>1057</v>
      </c>
      <c r="DK12" s="50">
        <v>665</v>
      </c>
      <c r="DL12" s="1"/>
    </row>
    <row r="13" spans="1:116">
      <c r="A13" t="s">
        <v>218</v>
      </c>
      <c r="B13" t="s">
        <v>215</v>
      </c>
      <c r="C13">
        <v>65.5</v>
      </c>
      <c r="E13" s="50">
        <v>766.5</v>
      </c>
      <c r="F13" s="50"/>
      <c r="G13" s="51">
        <v>1361</v>
      </c>
      <c r="H13" s="51">
        <v>848.55</v>
      </c>
      <c r="K13" s="50">
        <v>5800</v>
      </c>
      <c r="L13" s="3">
        <v>6.3066666666666658</v>
      </c>
      <c r="M13" s="52">
        <v>31.7</v>
      </c>
      <c r="O13" s="51" t="s">
        <v>209</v>
      </c>
      <c r="Q13" s="51">
        <v>10</v>
      </c>
      <c r="R13" s="52">
        <v>0.62</v>
      </c>
      <c r="S13" s="52">
        <v>2.92</v>
      </c>
      <c r="T13" s="52">
        <v>30.05</v>
      </c>
      <c r="U13" s="52" t="s">
        <v>159</v>
      </c>
      <c r="V13" s="52">
        <v>1.47</v>
      </c>
      <c r="W13" s="52">
        <v>0.23</v>
      </c>
      <c r="X13" s="52" t="s">
        <v>159</v>
      </c>
      <c r="Y13" s="52">
        <v>0.02</v>
      </c>
      <c r="Z13" s="52">
        <v>10.74</v>
      </c>
      <c r="AA13" s="52">
        <v>0.02</v>
      </c>
      <c r="AB13" s="51">
        <v>22.5</v>
      </c>
      <c r="AC13" s="51">
        <f t="shared" si="0"/>
        <v>46.070000000000007</v>
      </c>
      <c r="AD13" s="52">
        <v>91.94</v>
      </c>
      <c r="AE13" s="52">
        <f t="shared" si="1"/>
        <v>2.1706099413935314</v>
      </c>
      <c r="AF13" s="52">
        <f t="shared" si="2"/>
        <v>23.312350770566528</v>
      </c>
      <c r="AG13" s="52">
        <f t="shared" si="3"/>
        <v>4.3412198827870625E-2</v>
      </c>
      <c r="AH13" s="52">
        <f t="shared" si="4"/>
        <v>1.3457781636639894</v>
      </c>
      <c r="AI13" s="52">
        <f t="shared" si="5"/>
        <v>3.1907966138484909</v>
      </c>
      <c r="AJ13" s="52">
        <f t="shared" si="6"/>
        <v>0.49924028652051222</v>
      </c>
      <c r="AK13" s="52">
        <f t="shared" si="7"/>
        <v>65.226828738875625</v>
      </c>
      <c r="AL13" s="52">
        <f t="shared" si="8"/>
        <v>6.3381810288691112</v>
      </c>
      <c r="AM13" s="52" t="e">
        <f t="shared" si="9"/>
        <v>#VALUE!</v>
      </c>
      <c r="AN13" s="52" t="e">
        <f t="shared" si="10"/>
        <v>#VALUE!</v>
      </c>
      <c r="AO13" s="52">
        <f t="shared" si="11"/>
        <v>4.3412198827870625E-2</v>
      </c>
      <c r="AP13" s="52"/>
      <c r="AQ13" s="52"/>
      <c r="AR13" s="50">
        <v>6</v>
      </c>
      <c r="AS13" s="50" t="s">
        <v>205</v>
      </c>
      <c r="AT13" s="51">
        <v>5</v>
      </c>
      <c r="AU13" s="51">
        <v>2.8</v>
      </c>
      <c r="AV13" s="51">
        <v>4.9000000000000004</v>
      </c>
      <c r="AW13" s="51">
        <v>1959.1</v>
      </c>
      <c r="AX13" s="50"/>
      <c r="AY13" s="51">
        <v>0.2</v>
      </c>
      <c r="AZ13" s="52">
        <v>1.29</v>
      </c>
      <c r="BA13" s="3">
        <v>0.56999999999999995</v>
      </c>
      <c r="BB13" s="52">
        <v>0.31</v>
      </c>
      <c r="BC13" s="51" t="s">
        <v>207</v>
      </c>
      <c r="BD13" s="52">
        <v>1.1000000000000001</v>
      </c>
      <c r="BE13" s="51" t="s">
        <v>206</v>
      </c>
      <c r="BF13" s="52">
        <v>0.34</v>
      </c>
      <c r="BH13" s="51">
        <v>1.7</v>
      </c>
      <c r="BJ13" s="52">
        <v>0.09</v>
      </c>
      <c r="BK13" s="51">
        <v>4.5999999999999996</v>
      </c>
      <c r="BL13" s="60">
        <v>0.3</v>
      </c>
      <c r="BM13" s="51">
        <v>2.5</v>
      </c>
      <c r="BN13" s="58">
        <v>2000160</v>
      </c>
      <c r="BO13" s="51">
        <v>72.7</v>
      </c>
      <c r="BP13" s="52">
        <v>0.54</v>
      </c>
      <c r="BQ13" s="51">
        <v>0.2</v>
      </c>
      <c r="BR13" s="51">
        <v>6.3</v>
      </c>
      <c r="BS13" s="50" t="s">
        <v>205</v>
      </c>
      <c r="BT13" s="52">
        <v>0.79</v>
      </c>
      <c r="BU13" s="50" t="s">
        <v>205</v>
      </c>
      <c r="BV13" s="51">
        <v>17.600000000000001</v>
      </c>
      <c r="BW13" s="51" t="s">
        <v>206</v>
      </c>
      <c r="BX13" s="52">
        <v>0.21</v>
      </c>
      <c r="BY13" s="51" t="s">
        <v>211</v>
      </c>
      <c r="BZ13" s="53"/>
      <c r="CA13" s="53"/>
      <c r="CB13" s="52">
        <v>0.08</v>
      </c>
      <c r="CC13" s="51" t="s">
        <v>206</v>
      </c>
      <c r="CD13" s="50">
        <v>26</v>
      </c>
      <c r="CE13" s="51" t="s">
        <v>207</v>
      </c>
      <c r="CF13" s="51">
        <v>6.9</v>
      </c>
      <c r="CG13" s="52">
        <v>0.54</v>
      </c>
      <c r="CH13" s="50">
        <v>141</v>
      </c>
      <c r="CI13" s="51">
        <v>1.4</v>
      </c>
      <c r="CJ13" s="53"/>
      <c r="CK13" s="53"/>
      <c r="CL13" s="53">
        <v>3.0000000000000001E-3</v>
      </c>
      <c r="CQ13" s="51">
        <v>6</v>
      </c>
      <c r="CR13" s="51">
        <v>233.8</v>
      </c>
      <c r="CS13" s="51">
        <v>961</v>
      </c>
      <c r="CT13" s="51" t="s">
        <v>206</v>
      </c>
      <c r="CU13" s="50">
        <v>21</v>
      </c>
      <c r="CV13" s="50">
        <v>34</v>
      </c>
      <c r="CX13" s="50">
        <v>17</v>
      </c>
      <c r="CY13" s="50">
        <v>5</v>
      </c>
      <c r="CZ13" s="53">
        <v>1E-3</v>
      </c>
      <c r="DA13" s="54" t="s">
        <v>208</v>
      </c>
      <c r="DB13" s="51" t="s">
        <v>206</v>
      </c>
      <c r="DC13" s="52">
        <v>0.1</v>
      </c>
      <c r="DD13" s="51">
        <v>1.2</v>
      </c>
      <c r="DE13" s="51">
        <v>0.3</v>
      </c>
      <c r="DG13" s="52">
        <v>20</v>
      </c>
      <c r="DH13" s="52">
        <f>100008*DG13</f>
        <v>2000160</v>
      </c>
      <c r="DI13" s="50">
        <v>826</v>
      </c>
      <c r="DJ13" s="50">
        <v>885</v>
      </c>
      <c r="DK13" s="50">
        <v>1361</v>
      </c>
      <c r="DL13" s="1"/>
    </row>
    <row r="14" spans="1:116">
      <c r="A14" t="s">
        <v>219</v>
      </c>
      <c r="B14" t="s">
        <v>215</v>
      </c>
      <c r="C14">
        <v>74.5</v>
      </c>
      <c r="E14" s="50">
        <v>37</v>
      </c>
      <c r="F14" s="50"/>
      <c r="G14" s="51">
        <v>188.5</v>
      </c>
      <c r="H14" s="51">
        <v>103.1</v>
      </c>
      <c r="K14" s="50">
        <v>4500</v>
      </c>
      <c r="L14" s="3">
        <v>0.54999999999999993</v>
      </c>
      <c r="M14" s="52">
        <v>3.26</v>
      </c>
      <c r="O14" s="51">
        <v>7.9</v>
      </c>
      <c r="Q14" s="51">
        <v>1</v>
      </c>
      <c r="R14" s="52">
        <v>13.07</v>
      </c>
      <c r="S14" s="52">
        <v>0.6</v>
      </c>
      <c r="T14" s="52">
        <v>31.22</v>
      </c>
      <c r="U14" s="52">
        <v>0.04</v>
      </c>
      <c r="V14" s="52">
        <v>7.42</v>
      </c>
      <c r="W14" s="52">
        <v>0.16</v>
      </c>
      <c r="X14" s="52">
        <v>0.02</v>
      </c>
      <c r="Y14" s="52">
        <v>0.03</v>
      </c>
      <c r="Z14" s="52">
        <v>35.93</v>
      </c>
      <c r="AA14" s="52">
        <v>0.73</v>
      </c>
      <c r="AB14" s="51">
        <v>8.1999999999999993</v>
      </c>
      <c r="AC14" s="51">
        <f t="shared" si="0"/>
        <v>89.220000000000013</v>
      </c>
      <c r="AD14" s="52">
        <v>99.27</v>
      </c>
      <c r="AE14" s="52">
        <f t="shared" si="1"/>
        <v>1.1208249271463795</v>
      </c>
      <c r="AF14" s="52">
        <f t="shared" si="2"/>
        <v>40.271239632369415</v>
      </c>
      <c r="AG14" s="52">
        <f t="shared" si="3"/>
        <v>0.81820219681685702</v>
      </c>
      <c r="AH14" s="52">
        <f t="shared" si="4"/>
        <v>14.64918179780318</v>
      </c>
      <c r="AI14" s="52">
        <f t="shared" si="5"/>
        <v>8.3165209594261356</v>
      </c>
      <c r="AJ14" s="52">
        <f t="shared" si="6"/>
        <v>0.17933198834342073</v>
      </c>
      <c r="AK14" s="52">
        <f t="shared" si="7"/>
        <v>34.992154225509964</v>
      </c>
      <c r="AL14" s="52">
        <f t="shared" si="8"/>
        <v>0.67249495628782763</v>
      </c>
      <c r="AM14" s="52">
        <f t="shared" si="9"/>
        <v>2.2416498542927592E-2</v>
      </c>
      <c r="AN14" s="52">
        <f t="shared" si="10"/>
        <v>4.4832997085855184E-2</v>
      </c>
      <c r="AO14" s="52">
        <f t="shared" si="11"/>
        <v>3.3624747814391384E-2</v>
      </c>
      <c r="AP14" s="52"/>
      <c r="AQ14" s="52"/>
      <c r="AR14" s="50">
        <v>23</v>
      </c>
      <c r="AS14" s="50">
        <v>1</v>
      </c>
      <c r="AT14" s="51">
        <v>0.5</v>
      </c>
      <c r="AU14" s="51">
        <v>0.4</v>
      </c>
      <c r="AV14" s="51">
        <v>20.9</v>
      </c>
      <c r="AW14" s="51">
        <v>94.8</v>
      </c>
      <c r="AX14" s="50"/>
      <c r="AY14" s="51">
        <v>12</v>
      </c>
      <c r="AZ14" s="52">
        <v>1.93</v>
      </c>
      <c r="BA14" s="3">
        <v>1.04</v>
      </c>
      <c r="BB14" s="52">
        <v>0.5</v>
      </c>
      <c r="BC14" s="51">
        <v>15.1</v>
      </c>
      <c r="BD14" s="52">
        <v>2.58</v>
      </c>
      <c r="BE14" s="51">
        <v>1.3</v>
      </c>
      <c r="BF14" s="52">
        <v>0.13</v>
      </c>
      <c r="BH14" s="51">
        <v>3</v>
      </c>
      <c r="BJ14" s="52">
        <v>0.11</v>
      </c>
      <c r="BK14" s="51">
        <v>0.6</v>
      </c>
      <c r="BL14" s="60">
        <v>2.9</v>
      </c>
      <c r="BM14" s="51">
        <v>11.6</v>
      </c>
      <c r="BN14" s="50">
        <v>16700</v>
      </c>
      <c r="BO14" s="51">
        <v>6.5</v>
      </c>
      <c r="BP14" s="52">
        <v>2.63</v>
      </c>
      <c r="BQ14" s="51">
        <v>2.2000000000000002</v>
      </c>
      <c r="BR14" s="51">
        <v>0.3</v>
      </c>
      <c r="BS14" s="50">
        <v>31</v>
      </c>
      <c r="BT14" s="52">
        <v>2.16</v>
      </c>
      <c r="BU14" s="50">
        <v>1</v>
      </c>
      <c r="BV14" s="51">
        <v>10.7</v>
      </c>
      <c r="BW14" s="51">
        <v>0.3</v>
      </c>
      <c r="BX14" s="52">
        <v>0.4</v>
      </c>
      <c r="BY14" s="51">
        <v>0.9</v>
      </c>
      <c r="BZ14" s="53"/>
      <c r="CA14" s="53"/>
      <c r="CB14" s="52">
        <v>0.14000000000000001</v>
      </c>
      <c r="CC14" s="51">
        <v>0.5</v>
      </c>
      <c r="CD14" s="50">
        <v>232</v>
      </c>
      <c r="CE14" s="51">
        <v>0.6</v>
      </c>
      <c r="CF14" s="51">
        <v>12</v>
      </c>
      <c r="CG14" s="52">
        <v>0.75</v>
      </c>
      <c r="CH14" s="50">
        <v>280</v>
      </c>
      <c r="CI14" s="51">
        <v>46.4</v>
      </c>
      <c r="CJ14" s="53"/>
      <c r="CK14" s="53"/>
      <c r="CL14" s="53">
        <v>7.2999999999999995E-2</v>
      </c>
      <c r="CQ14" s="51">
        <v>0.8</v>
      </c>
      <c r="CR14" s="51">
        <v>27.1</v>
      </c>
      <c r="CS14" s="51">
        <v>35.9</v>
      </c>
      <c r="CT14" s="51">
        <v>0.3</v>
      </c>
      <c r="CU14" s="50">
        <v>9</v>
      </c>
      <c r="CV14" s="50">
        <v>221</v>
      </c>
      <c r="CX14" s="50">
        <v>455</v>
      </c>
      <c r="CY14" s="50">
        <v>18</v>
      </c>
      <c r="CZ14" s="53">
        <v>1.6E-2</v>
      </c>
      <c r="DA14" s="54" t="s">
        <v>208</v>
      </c>
      <c r="DB14" s="51" t="s">
        <v>206</v>
      </c>
      <c r="DC14" s="52">
        <v>0.01</v>
      </c>
      <c r="DD14" s="51">
        <v>25.6</v>
      </c>
      <c r="DE14" s="51" t="s">
        <v>206</v>
      </c>
      <c r="DG14" s="52">
        <v>1.67</v>
      </c>
      <c r="DH14" s="52">
        <v>16700</v>
      </c>
      <c r="DI14" s="48" t="s">
        <v>213</v>
      </c>
      <c r="DJ14" s="48" t="s">
        <v>213</v>
      </c>
      <c r="DK14" s="48" t="s">
        <v>213</v>
      </c>
      <c r="DL14" s="1">
        <v>3265.8227848101264</v>
      </c>
    </row>
    <row r="15" spans="1:116">
      <c r="A15" t="s">
        <v>220</v>
      </c>
      <c r="B15" t="s">
        <v>215</v>
      </c>
      <c r="C15">
        <v>74.599999999999994</v>
      </c>
      <c r="E15" s="50">
        <v>238</v>
      </c>
      <c r="F15" s="50"/>
      <c r="G15" s="51">
        <v>482.9</v>
      </c>
      <c r="H15" s="51">
        <v>556.20000000000005</v>
      </c>
      <c r="K15" s="50">
        <v>58700</v>
      </c>
      <c r="L15" s="3">
        <v>5.9033333333333333</v>
      </c>
      <c r="M15" s="52">
        <v>35.5</v>
      </c>
      <c r="O15" s="51" t="s">
        <v>209</v>
      </c>
      <c r="Q15" s="51">
        <v>7</v>
      </c>
      <c r="R15" s="52">
        <v>0.18</v>
      </c>
      <c r="S15" s="52">
        <v>4.26</v>
      </c>
      <c r="T15" s="52">
        <v>42.64</v>
      </c>
      <c r="U15" s="52" t="s">
        <v>159</v>
      </c>
      <c r="V15" s="52">
        <v>0.23</v>
      </c>
      <c r="W15" s="52">
        <v>0.22</v>
      </c>
      <c r="X15" s="52" t="s">
        <v>159</v>
      </c>
      <c r="Y15" s="52">
        <v>0.02</v>
      </c>
      <c r="Z15" s="52">
        <v>0.83</v>
      </c>
      <c r="AA15" s="52">
        <v>0.01</v>
      </c>
      <c r="AB15" s="51">
        <v>21.9</v>
      </c>
      <c r="AC15" s="51">
        <f t="shared" si="0"/>
        <v>48.389999999999993</v>
      </c>
      <c r="AD15" s="52">
        <v>81.75</v>
      </c>
      <c r="AE15" s="52">
        <f t="shared" si="1"/>
        <v>2.0665426741062207</v>
      </c>
      <c r="AF15" s="52">
        <f t="shared" si="2"/>
        <v>1.7152304195081631</v>
      </c>
      <c r="AG15" s="52">
        <f t="shared" si="3"/>
        <v>2.0665426741062209E-2</v>
      </c>
      <c r="AH15" s="52">
        <f t="shared" si="4"/>
        <v>0.37197768133911974</v>
      </c>
      <c r="AI15" s="52">
        <f t="shared" si="5"/>
        <v>0.47530481504443078</v>
      </c>
      <c r="AJ15" s="52">
        <f t="shared" si="6"/>
        <v>0.45463938830336859</v>
      </c>
      <c r="AK15" s="52">
        <f t="shared" si="7"/>
        <v>88.117379623889249</v>
      </c>
      <c r="AL15" s="52">
        <f t="shared" si="8"/>
        <v>8.8034717916925</v>
      </c>
      <c r="AM15" s="52" t="e">
        <f t="shared" si="9"/>
        <v>#VALUE!</v>
      </c>
      <c r="AN15" s="52" t="e">
        <f t="shared" si="10"/>
        <v>#VALUE!</v>
      </c>
      <c r="AO15" s="52">
        <f t="shared" si="11"/>
        <v>4.1330853482124418E-2</v>
      </c>
      <c r="AP15" s="52"/>
      <c r="AQ15" s="52"/>
      <c r="AR15" s="50">
        <v>3</v>
      </c>
      <c r="AS15" s="50" t="s">
        <v>205</v>
      </c>
      <c r="AT15" s="51">
        <v>1.6</v>
      </c>
      <c r="AU15" s="51">
        <v>3.5</v>
      </c>
      <c r="AV15" s="51">
        <v>8.8000000000000007</v>
      </c>
      <c r="AW15" s="51">
        <v>1843.1</v>
      </c>
      <c r="AX15" s="50"/>
      <c r="AY15" s="51">
        <v>0.2</v>
      </c>
      <c r="AZ15" s="52">
        <v>0.8</v>
      </c>
      <c r="BA15" s="3">
        <v>0.33</v>
      </c>
      <c r="BB15" s="52">
        <v>0.25</v>
      </c>
      <c r="BC15" s="51" t="s">
        <v>207</v>
      </c>
      <c r="BD15" s="52">
        <v>0.98</v>
      </c>
      <c r="BE15" s="51" t="s">
        <v>206</v>
      </c>
      <c r="BF15" s="52">
        <v>0.54</v>
      </c>
      <c r="BH15" s="51">
        <v>12</v>
      </c>
      <c r="BJ15" s="52">
        <v>0.05</v>
      </c>
      <c r="BK15" s="51">
        <v>1.2</v>
      </c>
      <c r="BL15" s="60" t="s">
        <v>206</v>
      </c>
      <c r="BM15" s="51">
        <v>3.8</v>
      </c>
      <c r="BN15" s="50">
        <v>141100</v>
      </c>
      <c r="BO15" s="51">
        <v>43.5</v>
      </c>
      <c r="BP15" s="52">
        <v>0.95</v>
      </c>
      <c r="BQ15" s="51">
        <v>0.1</v>
      </c>
      <c r="BR15" s="51">
        <v>2.9</v>
      </c>
      <c r="BS15" s="50">
        <v>1</v>
      </c>
      <c r="BT15" s="52">
        <v>1.04</v>
      </c>
      <c r="BU15" s="50">
        <v>1</v>
      </c>
      <c r="BV15" s="51">
        <v>36.5</v>
      </c>
      <c r="BW15" s="51" t="s">
        <v>206</v>
      </c>
      <c r="BX15" s="52">
        <v>0.14000000000000001</v>
      </c>
      <c r="BY15" s="51" t="s">
        <v>211</v>
      </c>
      <c r="BZ15" s="53"/>
      <c r="CA15" s="53"/>
      <c r="CB15" s="52">
        <v>0.04</v>
      </c>
      <c r="CC15" s="51" t="s">
        <v>206</v>
      </c>
      <c r="CD15" s="50">
        <v>30</v>
      </c>
      <c r="CE15" s="51" t="s">
        <v>207</v>
      </c>
      <c r="CF15" s="51">
        <v>4.5999999999999996</v>
      </c>
      <c r="CG15" s="52">
        <v>0.34</v>
      </c>
      <c r="CH15" s="50">
        <v>195</v>
      </c>
      <c r="CI15" s="51">
        <v>0.7</v>
      </c>
      <c r="CJ15" s="53"/>
      <c r="CK15" s="53"/>
      <c r="CL15" s="53">
        <v>1.0999999999999999E-2</v>
      </c>
      <c r="CQ15" s="51">
        <v>10.3</v>
      </c>
      <c r="CR15" s="51">
        <v>52.1</v>
      </c>
      <c r="CS15" s="51">
        <v>241.9</v>
      </c>
      <c r="CT15" s="51" t="s">
        <v>206</v>
      </c>
      <c r="CU15" s="50">
        <v>42</v>
      </c>
      <c r="CV15" s="50">
        <v>43</v>
      </c>
      <c r="CX15" s="50">
        <v>35</v>
      </c>
      <c r="CY15" s="50">
        <v>3</v>
      </c>
      <c r="CZ15" s="53">
        <v>1E-3</v>
      </c>
      <c r="DA15" s="54" t="s">
        <v>208</v>
      </c>
      <c r="DB15" s="51" t="s">
        <v>206</v>
      </c>
      <c r="DC15" s="52">
        <v>0.09</v>
      </c>
      <c r="DD15" s="51">
        <v>0.6</v>
      </c>
      <c r="DE15" s="51">
        <v>0.2</v>
      </c>
      <c r="DG15" s="52">
        <v>14.11</v>
      </c>
      <c r="DH15" s="52">
        <v>141100</v>
      </c>
      <c r="DI15" s="48" t="s">
        <v>213</v>
      </c>
      <c r="DJ15" s="48" t="s">
        <v>213</v>
      </c>
      <c r="DK15" s="48" t="s">
        <v>213</v>
      </c>
      <c r="DL15" s="1"/>
    </row>
    <row r="16" spans="1:116">
      <c r="A16" t="s">
        <v>221</v>
      </c>
      <c r="B16" t="s">
        <v>215</v>
      </c>
      <c r="C16">
        <v>75</v>
      </c>
      <c r="E16" s="50">
        <v>50</v>
      </c>
      <c r="F16" s="50"/>
      <c r="G16" s="51">
        <v>230.4</v>
      </c>
      <c r="H16" s="51">
        <v>167.1</v>
      </c>
      <c r="K16" s="50">
        <v>5900</v>
      </c>
      <c r="L16" s="3">
        <v>2.7866666666666666</v>
      </c>
      <c r="M16" s="52">
        <v>2.94</v>
      </c>
      <c r="O16" s="51">
        <v>12.2</v>
      </c>
      <c r="Q16" s="51">
        <v>1.3</v>
      </c>
      <c r="R16" s="52">
        <v>13.85</v>
      </c>
      <c r="S16" s="52">
        <v>3.12</v>
      </c>
      <c r="T16" s="52">
        <v>28.19</v>
      </c>
      <c r="U16" s="52">
        <v>0.02</v>
      </c>
      <c r="V16" s="52">
        <v>8.94</v>
      </c>
      <c r="W16" s="52">
        <v>0.23</v>
      </c>
      <c r="X16" s="52">
        <v>0.02</v>
      </c>
      <c r="Y16" s="52">
        <v>0.04</v>
      </c>
      <c r="Z16" s="52">
        <v>31.86</v>
      </c>
      <c r="AA16" s="52">
        <v>0.74</v>
      </c>
      <c r="AB16" s="51">
        <v>8.1</v>
      </c>
      <c r="AC16" s="51">
        <f t="shared" si="0"/>
        <v>87.009999999999991</v>
      </c>
      <c r="AD16" s="52">
        <v>97.63</v>
      </c>
      <c r="AE16" s="52">
        <f t="shared" si="1"/>
        <v>1.1492931846914149</v>
      </c>
      <c r="AF16" s="52">
        <f t="shared" si="2"/>
        <v>36.616480864268482</v>
      </c>
      <c r="AG16" s="52">
        <f t="shared" si="3"/>
        <v>0.85047695667164702</v>
      </c>
      <c r="AH16" s="52">
        <f t="shared" si="4"/>
        <v>15.917710607976097</v>
      </c>
      <c r="AI16" s="52">
        <f t="shared" si="5"/>
        <v>10.274681071141249</v>
      </c>
      <c r="AJ16" s="52">
        <f t="shared" si="6"/>
        <v>0.26433743247902547</v>
      </c>
      <c r="AK16" s="52">
        <f t="shared" si="7"/>
        <v>32.398574876450986</v>
      </c>
      <c r="AL16" s="52">
        <f t="shared" si="8"/>
        <v>3.5857947362372147</v>
      </c>
      <c r="AM16" s="52">
        <f t="shared" si="9"/>
        <v>2.2985863693828299E-2</v>
      </c>
      <c r="AN16" s="52">
        <f t="shared" si="10"/>
        <v>2.2985863693828299E-2</v>
      </c>
      <c r="AO16" s="52">
        <f t="shared" si="11"/>
        <v>4.5971727387656598E-2</v>
      </c>
      <c r="AP16" s="52"/>
      <c r="AQ16" s="52"/>
      <c r="AR16" s="50">
        <v>14</v>
      </c>
      <c r="AS16" s="50">
        <v>2</v>
      </c>
      <c r="AT16" s="51">
        <v>0.8</v>
      </c>
      <c r="AU16" s="51">
        <v>56.1</v>
      </c>
      <c r="AV16" s="51">
        <v>19.100000000000001</v>
      </c>
      <c r="AW16" s="51">
        <v>147.5</v>
      </c>
      <c r="AX16" s="50"/>
      <c r="AY16" s="51">
        <v>7.2</v>
      </c>
      <c r="AZ16" s="52">
        <v>3.13</v>
      </c>
      <c r="BA16" s="3">
        <v>1.65</v>
      </c>
      <c r="BB16" s="52">
        <v>0.77</v>
      </c>
      <c r="BC16" s="51">
        <v>15.9</v>
      </c>
      <c r="BD16" s="52">
        <v>3.08</v>
      </c>
      <c r="BE16" s="51">
        <v>1</v>
      </c>
      <c r="BF16" s="52">
        <v>0.75</v>
      </c>
      <c r="BH16" s="51">
        <v>4.5</v>
      </c>
      <c r="BJ16" s="52">
        <v>0.17</v>
      </c>
      <c r="BK16" s="51">
        <v>0.8</v>
      </c>
      <c r="BL16" s="60">
        <v>2.6</v>
      </c>
      <c r="BM16" s="51">
        <v>10.199999999999999</v>
      </c>
      <c r="BN16" s="50">
        <v>22799.999999999996</v>
      </c>
      <c r="BO16" s="51">
        <v>964.4</v>
      </c>
      <c r="BP16" s="52">
        <v>2.46</v>
      </c>
      <c r="BQ16" s="51">
        <v>1.6</v>
      </c>
      <c r="BR16" s="51">
        <v>0.1</v>
      </c>
      <c r="BS16" s="50">
        <v>35</v>
      </c>
      <c r="BT16" s="52">
        <v>2.79</v>
      </c>
      <c r="BU16" s="50">
        <v>1</v>
      </c>
      <c r="BV16" s="51">
        <v>38.1</v>
      </c>
      <c r="BW16" s="51">
        <v>0.1</v>
      </c>
      <c r="BX16" s="52">
        <v>0.51</v>
      </c>
      <c r="BY16" s="51">
        <v>0.7</v>
      </c>
      <c r="BZ16" s="53"/>
      <c r="CA16" s="53"/>
      <c r="CB16" s="52">
        <v>0.19</v>
      </c>
      <c r="CC16" s="51">
        <v>0.2</v>
      </c>
      <c r="CD16" s="50">
        <v>242</v>
      </c>
      <c r="CE16" s="51" t="s">
        <v>207</v>
      </c>
      <c r="CF16" s="51">
        <v>15.4</v>
      </c>
      <c r="CG16" s="52">
        <v>1.04</v>
      </c>
      <c r="CH16" s="50" t="s">
        <v>204</v>
      </c>
      <c r="CI16" s="51">
        <v>47.3</v>
      </c>
      <c r="CJ16" s="53"/>
      <c r="CK16" s="53"/>
      <c r="CL16" s="53">
        <v>0.11799999999999999</v>
      </c>
      <c r="CQ16" s="51">
        <v>1.4</v>
      </c>
      <c r="CR16" s="51">
        <v>18.8</v>
      </c>
      <c r="CS16" s="51">
        <v>32.4</v>
      </c>
      <c r="CT16" s="51">
        <v>0.3</v>
      </c>
      <c r="CU16" s="50">
        <v>30</v>
      </c>
      <c r="CV16" s="50">
        <v>223</v>
      </c>
      <c r="CX16" s="50">
        <v>683</v>
      </c>
      <c r="CY16" s="50">
        <v>11</v>
      </c>
      <c r="CZ16" s="53">
        <v>1.6E-2</v>
      </c>
      <c r="DA16" s="54" t="s">
        <v>208</v>
      </c>
      <c r="DB16" s="51" t="s">
        <v>206</v>
      </c>
      <c r="DC16" s="52">
        <v>1.03</v>
      </c>
      <c r="DD16" s="51">
        <v>28.4</v>
      </c>
      <c r="DE16" s="51" t="s">
        <v>206</v>
      </c>
      <c r="DG16" s="52">
        <v>2.2799999999999998</v>
      </c>
      <c r="DH16" s="52">
        <v>22799.999999999996</v>
      </c>
      <c r="DI16" s="48" t="s">
        <v>213</v>
      </c>
      <c r="DJ16" s="48" t="s">
        <v>213</v>
      </c>
      <c r="DK16" s="48" t="s">
        <v>213</v>
      </c>
      <c r="DL16" s="1">
        <v>2114.7540983606559</v>
      </c>
    </row>
    <row r="17" spans="1:116">
      <c r="A17" t="s">
        <v>222</v>
      </c>
      <c r="B17" t="s">
        <v>223</v>
      </c>
      <c r="C17">
        <v>169.2</v>
      </c>
      <c r="E17" s="50">
        <v>3</v>
      </c>
      <c r="F17" s="50"/>
      <c r="G17" s="51">
        <v>2.2999999999999998</v>
      </c>
      <c r="H17" s="51">
        <v>1.9</v>
      </c>
      <c r="K17" s="50">
        <v>114.3</v>
      </c>
      <c r="L17" s="3">
        <v>3.0066666666666664</v>
      </c>
      <c r="M17" s="52">
        <v>0.21</v>
      </c>
      <c r="O17" s="51" t="s">
        <v>207</v>
      </c>
      <c r="Q17" s="51" t="s">
        <v>211</v>
      </c>
      <c r="R17" s="52">
        <v>15.62</v>
      </c>
      <c r="S17" s="52">
        <v>4.6500000000000004</v>
      </c>
      <c r="T17" s="52">
        <v>10.97</v>
      </c>
      <c r="U17" s="52">
        <v>0.62</v>
      </c>
      <c r="V17" s="52">
        <v>11.87</v>
      </c>
      <c r="W17" s="52">
        <v>0.17</v>
      </c>
      <c r="X17" s="52">
        <v>2.83</v>
      </c>
      <c r="Y17" s="52">
        <v>0.06</v>
      </c>
      <c r="Z17" s="52">
        <v>43.65</v>
      </c>
      <c r="AA17" s="52">
        <v>0.87</v>
      </c>
      <c r="AB17" s="51">
        <v>8.1999999999999993</v>
      </c>
      <c r="AC17" s="51">
        <f t="shared" si="0"/>
        <v>91.31</v>
      </c>
      <c r="AD17" s="52">
        <v>99.69</v>
      </c>
      <c r="AE17" s="52">
        <f t="shared" si="1"/>
        <v>1.0951702989814915</v>
      </c>
      <c r="AF17" s="52">
        <f t="shared" si="2"/>
        <v>47.804183550542106</v>
      </c>
      <c r="AG17" s="52">
        <f t="shared" si="3"/>
        <v>0.95279816011389762</v>
      </c>
      <c r="AH17" s="52">
        <f t="shared" si="4"/>
        <v>17.106560070090897</v>
      </c>
      <c r="AI17" s="52">
        <f t="shared" si="5"/>
        <v>12.999671448910304</v>
      </c>
      <c r="AJ17" s="52">
        <f t="shared" si="6"/>
        <v>0.18617895082685357</v>
      </c>
      <c r="AK17" s="52">
        <f t="shared" si="7"/>
        <v>12.014018179826962</v>
      </c>
      <c r="AL17" s="52">
        <f t="shared" si="8"/>
        <v>5.0925418902639361</v>
      </c>
      <c r="AM17" s="52">
        <f t="shared" si="9"/>
        <v>3.099331946117621</v>
      </c>
      <c r="AN17" s="52">
        <f t="shared" si="10"/>
        <v>0.67900558536852473</v>
      </c>
      <c r="AO17" s="52">
        <f t="shared" si="11"/>
        <v>6.5710217938889495E-2</v>
      </c>
      <c r="AP17" s="52"/>
      <c r="AQ17" s="52"/>
      <c r="AR17" s="50">
        <v>232</v>
      </c>
      <c r="AS17" s="50" t="s">
        <v>205</v>
      </c>
      <c r="AT17" s="51" t="s">
        <v>206</v>
      </c>
      <c r="AU17" s="51" t="s">
        <v>206</v>
      </c>
      <c r="AV17" s="51">
        <v>10.4</v>
      </c>
      <c r="AW17" s="51">
        <v>61.3</v>
      </c>
      <c r="AX17" s="50"/>
      <c r="AY17" s="51">
        <v>10.5</v>
      </c>
      <c r="AZ17" s="52">
        <v>3.3</v>
      </c>
      <c r="BA17" s="3">
        <v>2.0299999999999998</v>
      </c>
      <c r="BB17" s="52">
        <v>0.85</v>
      </c>
      <c r="BC17" s="51">
        <v>13</v>
      </c>
      <c r="BD17" s="52">
        <v>3.18</v>
      </c>
      <c r="BE17" s="51">
        <v>1.4</v>
      </c>
      <c r="BF17" s="52">
        <v>0.59</v>
      </c>
      <c r="BH17" s="51">
        <v>9.9</v>
      </c>
      <c r="BJ17" s="52">
        <v>0.27</v>
      </c>
      <c r="BK17" s="51">
        <v>0.2</v>
      </c>
      <c r="BL17" s="60">
        <v>2.6</v>
      </c>
      <c r="BM17" s="51">
        <v>6.4</v>
      </c>
      <c r="BN17" s="50">
        <v>515</v>
      </c>
      <c r="BO17" s="51">
        <v>0.5</v>
      </c>
      <c r="BP17" s="52">
        <v>1.39</v>
      </c>
      <c r="BQ17" s="51">
        <v>22</v>
      </c>
      <c r="BR17" s="51" t="s">
        <v>206</v>
      </c>
      <c r="BS17" s="50">
        <v>38</v>
      </c>
      <c r="BT17" s="52">
        <v>2.2400000000000002</v>
      </c>
      <c r="BU17" s="50" t="s">
        <v>205</v>
      </c>
      <c r="BV17" s="51">
        <v>169.7</v>
      </c>
      <c r="BW17" s="51">
        <v>0.2</v>
      </c>
      <c r="BX17" s="52">
        <v>0.56999999999999995</v>
      </c>
      <c r="BY17" s="51">
        <v>0.9</v>
      </c>
      <c r="BZ17" s="53"/>
      <c r="CA17" s="53"/>
      <c r="CB17" s="52">
        <v>0.32</v>
      </c>
      <c r="CC17" s="51">
        <v>0.2</v>
      </c>
      <c r="CD17" s="50">
        <v>272</v>
      </c>
      <c r="CE17" s="51" t="s">
        <v>207</v>
      </c>
      <c r="CF17" s="51">
        <v>21</v>
      </c>
      <c r="CG17" s="52">
        <v>2.17</v>
      </c>
      <c r="CH17" s="50">
        <v>49</v>
      </c>
      <c r="CI17" s="51">
        <v>48.5</v>
      </c>
      <c r="CJ17" s="53"/>
      <c r="CK17" s="53"/>
      <c r="CL17" s="53">
        <v>8.5000000000000006E-2</v>
      </c>
      <c r="CQ17" s="51" t="s">
        <v>206</v>
      </c>
      <c r="CR17" s="51">
        <v>2.1</v>
      </c>
      <c r="CS17" s="51">
        <v>2.4</v>
      </c>
      <c r="CT17" s="51">
        <v>0.5</v>
      </c>
      <c r="CU17" s="50">
        <v>47</v>
      </c>
      <c r="CV17" s="50">
        <v>201</v>
      </c>
      <c r="CX17" s="50">
        <v>489</v>
      </c>
      <c r="CY17" s="50">
        <v>70</v>
      </c>
      <c r="CZ17" s="53">
        <v>0.154</v>
      </c>
      <c r="DA17" s="54" t="s">
        <v>208</v>
      </c>
      <c r="DB17" s="51" t="s">
        <v>206</v>
      </c>
      <c r="DC17" s="52" t="s">
        <v>159</v>
      </c>
      <c r="DD17" s="51">
        <v>20.9</v>
      </c>
      <c r="DE17" s="51" t="s">
        <v>206</v>
      </c>
      <c r="DF17" s="50"/>
      <c r="DG17" s="48" t="s">
        <v>213</v>
      </c>
      <c r="DH17" s="52"/>
      <c r="DI17" s="48" t="s">
        <v>213</v>
      </c>
      <c r="DJ17" s="48" t="s">
        <v>213</v>
      </c>
      <c r="DK17" s="48" t="s">
        <v>213</v>
      </c>
      <c r="DL17" s="1"/>
    </row>
    <row r="18" spans="1:116">
      <c r="A18" t="s">
        <v>224</v>
      </c>
      <c r="B18" t="s">
        <v>223</v>
      </c>
      <c r="C18">
        <v>171.5</v>
      </c>
      <c r="E18" s="50">
        <v>82</v>
      </c>
      <c r="F18" s="50"/>
      <c r="G18" s="51">
        <v>140.9</v>
      </c>
      <c r="H18" s="51">
        <v>100.6</v>
      </c>
      <c r="K18" s="50">
        <v>3268.9</v>
      </c>
      <c r="L18" s="3">
        <v>4.6566666666666672</v>
      </c>
      <c r="M18" s="52">
        <v>1.65</v>
      </c>
      <c r="O18" s="51">
        <v>6.9</v>
      </c>
      <c r="Q18" s="51">
        <v>0.6</v>
      </c>
      <c r="R18" s="52">
        <v>12.97</v>
      </c>
      <c r="S18" s="52">
        <v>6.18</v>
      </c>
      <c r="T18" s="52">
        <v>13.42</v>
      </c>
      <c r="U18" s="52">
        <v>7.0000000000000007E-2</v>
      </c>
      <c r="V18" s="52">
        <v>13.02</v>
      </c>
      <c r="W18" s="52">
        <v>0.2</v>
      </c>
      <c r="X18" s="52">
        <v>1.42</v>
      </c>
      <c r="Y18" s="52">
        <v>0.04</v>
      </c>
      <c r="Z18" s="52">
        <v>41.49</v>
      </c>
      <c r="AA18" s="52">
        <v>0.76</v>
      </c>
      <c r="AB18" s="51">
        <v>9.1999999999999993</v>
      </c>
      <c r="AC18" s="51">
        <f t="shared" si="0"/>
        <v>89.570000000000007</v>
      </c>
      <c r="AD18" s="52">
        <v>99.34</v>
      </c>
      <c r="AE18" s="52">
        <f t="shared" si="1"/>
        <v>1.1164452383610584</v>
      </c>
      <c r="AF18" s="52">
        <f t="shared" si="2"/>
        <v>46.321312939600311</v>
      </c>
      <c r="AG18" s="52">
        <f t="shared" si="3"/>
        <v>0.84849838115440435</v>
      </c>
      <c r="AH18" s="52">
        <f t="shared" si="4"/>
        <v>14.480294741542927</v>
      </c>
      <c r="AI18" s="52">
        <f t="shared" si="5"/>
        <v>14.53611700346098</v>
      </c>
      <c r="AJ18" s="52">
        <f t="shared" si="6"/>
        <v>0.22328904767221169</v>
      </c>
      <c r="AK18" s="52">
        <f t="shared" si="7"/>
        <v>14.982695098805403</v>
      </c>
      <c r="AL18" s="52">
        <f t="shared" si="8"/>
        <v>6.89963157307134</v>
      </c>
      <c r="AM18" s="52">
        <f t="shared" si="9"/>
        <v>1.5853522384727028</v>
      </c>
      <c r="AN18" s="52">
        <f t="shared" si="10"/>
        <v>7.8151166685274095E-2</v>
      </c>
      <c r="AO18" s="52">
        <f t="shared" si="11"/>
        <v>4.4657809534442337E-2</v>
      </c>
      <c r="AP18" s="52"/>
      <c r="AQ18" s="52"/>
      <c r="AR18" s="50">
        <v>38</v>
      </c>
      <c r="AS18" s="50" t="s">
        <v>205</v>
      </c>
      <c r="AT18" s="51">
        <v>0.5</v>
      </c>
      <c r="AU18" s="51">
        <v>0.3</v>
      </c>
      <c r="AV18" s="51">
        <v>9.9</v>
      </c>
      <c r="AW18" s="51">
        <v>136.69999999999999</v>
      </c>
      <c r="AX18" s="50"/>
      <c r="AY18" s="51">
        <v>9.8000000000000007</v>
      </c>
      <c r="AZ18" s="52">
        <v>3.16</v>
      </c>
      <c r="BA18" s="3">
        <v>1.83</v>
      </c>
      <c r="BB18" s="52">
        <v>0.68</v>
      </c>
      <c r="BC18" s="51">
        <v>12</v>
      </c>
      <c r="BD18" s="52">
        <v>2.6</v>
      </c>
      <c r="BE18" s="51">
        <v>1.7</v>
      </c>
      <c r="BF18" s="52">
        <v>0.02</v>
      </c>
      <c r="BH18" s="51">
        <v>4.9000000000000004</v>
      </c>
      <c r="BJ18" s="52">
        <v>0.28999999999999998</v>
      </c>
      <c r="BK18" s="51">
        <v>0.1</v>
      </c>
      <c r="BL18" s="60">
        <v>2.5</v>
      </c>
      <c r="BM18" s="51">
        <v>6.6</v>
      </c>
      <c r="BN18" s="50">
        <v>3308</v>
      </c>
      <c r="BO18" s="51">
        <v>12.4</v>
      </c>
      <c r="BP18" s="52">
        <v>1.3</v>
      </c>
      <c r="BQ18" s="51">
        <v>3.7</v>
      </c>
      <c r="BR18" s="51" t="s">
        <v>206</v>
      </c>
      <c r="BS18" s="50">
        <v>33</v>
      </c>
      <c r="BT18" s="52">
        <v>1.94</v>
      </c>
      <c r="BU18" s="50" t="s">
        <v>205</v>
      </c>
      <c r="BV18" s="51">
        <v>104.1</v>
      </c>
      <c r="BW18" s="51">
        <v>0.2</v>
      </c>
      <c r="BX18" s="52">
        <v>0.51</v>
      </c>
      <c r="BY18" s="51">
        <v>0.9</v>
      </c>
      <c r="BZ18" s="53"/>
      <c r="CA18" s="53"/>
      <c r="CB18" s="52">
        <v>0.28999999999999998</v>
      </c>
      <c r="CC18" s="51">
        <v>0.3</v>
      </c>
      <c r="CD18" s="50">
        <v>237</v>
      </c>
      <c r="CE18" s="51" t="s">
        <v>207</v>
      </c>
      <c r="CF18" s="51">
        <v>19.2</v>
      </c>
      <c r="CG18" s="52">
        <v>1.88</v>
      </c>
      <c r="CH18" s="50">
        <v>73</v>
      </c>
      <c r="CI18" s="51">
        <v>46.7</v>
      </c>
      <c r="CJ18" s="53"/>
      <c r="CK18" s="53"/>
      <c r="CL18" s="53">
        <v>0.11600000000000001</v>
      </c>
      <c r="CQ18" s="51">
        <v>1</v>
      </c>
      <c r="CR18" s="51">
        <v>18.600000000000001</v>
      </c>
      <c r="CS18" s="51">
        <v>93</v>
      </c>
      <c r="CT18" s="51">
        <v>0.5</v>
      </c>
      <c r="CU18" s="50">
        <v>65</v>
      </c>
      <c r="CV18" s="50">
        <v>210</v>
      </c>
      <c r="CX18" s="50">
        <v>771</v>
      </c>
      <c r="CY18" s="50">
        <v>5</v>
      </c>
      <c r="CZ18" s="53">
        <v>0.14399999999999999</v>
      </c>
      <c r="DA18" s="54" t="s">
        <v>208</v>
      </c>
      <c r="DB18" s="51" t="s">
        <v>206</v>
      </c>
      <c r="DC18" s="52">
        <v>0.02</v>
      </c>
      <c r="DD18" s="51">
        <v>28.1</v>
      </c>
      <c r="DE18" s="51" t="s">
        <v>206</v>
      </c>
      <c r="DF18" s="50"/>
      <c r="DG18" s="48" t="s">
        <v>213</v>
      </c>
      <c r="DH18" s="52"/>
      <c r="DI18" s="48" t="s">
        <v>213</v>
      </c>
      <c r="DJ18" s="48" t="s">
        <v>213</v>
      </c>
      <c r="DK18" s="48" t="s">
        <v>213</v>
      </c>
      <c r="DL18" s="1">
        <v>2072.463768115942</v>
      </c>
    </row>
    <row r="19" spans="1:116">
      <c r="A19" t="s">
        <v>225</v>
      </c>
      <c r="B19" t="s">
        <v>223</v>
      </c>
      <c r="C19">
        <v>174.44</v>
      </c>
      <c r="E19" s="57">
        <v>436</v>
      </c>
      <c r="F19" s="57"/>
      <c r="G19" s="51">
        <v>3323</v>
      </c>
      <c r="H19" s="51">
        <v>1022</v>
      </c>
      <c r="K19" s="50">
        <v>24400</v>
      </c>
      <c r="L19" s="3">
        <v>1.43</v>
      </c>
      <c r="M19" s="52">
        <v>34.1</v>
      </c>
      <c r="O19" s="51" t="s">
        <v>209</v>
      </c>
      <c r="Q19" s="51">
        <v>17.8</v>
      </c>
      <c r="R19" s="52">
        <v>0.06</v>
      </c>
      <c r="S19" s="52">
        <v>0.03</v>
      </c>
      <c r="T19" s="52">
        <v>54.3</v>
      </c>
      <c r="U19" s="52" t="s">
        <v>159</v>
      </c>
      <c r="V19" s="52">
        <v>0.06</v>
      </c>
      <c r="W19" s="52">
        <v>7.0000000000000007E-2</v>
      </c>
      <c r="X19" s="52" t="s">
        <v>159</v>
      </c>
      <c r="Y19" s="52" t="s">
        <v>159</v>
      </c>
      <c r="Z19" s="52">
        <v>2.17</v>
      </c>
      <c r="AA19" s="52">
        <v>0.02</v>
      </c>
      <c r="AB19" s="51">
        <v>19.7</v>
      </c>
      <c r="AC19" s="51">
        <f t="shared" si="0"/>
        <v>56.710000000000008</v>
      </c>
      <c r="AD19" s="52">
        <v>88.4</v>
      </c>
      <c r="AE19" s="52">
        <f t="shared" si="1"/>
        <v>1.763357432551578</v>
      </c>
      <c r="AF19" s="52">
        <f t="shared" si="2"/>
        <v>3.8264856286369242</v>
      </c>
      <c r="AG19" s="52">
        <f t="shared" si="3"/>
        <v>3.526714865103156E-2</v>
      </c>
      <c r="AH19" s="52">
        <f t="shared" si="4"/>
        <v>0.10580144595309467</v>
      </c>
      <c r="AI19" s="52">
        <f t="shared" si="5"/>
        <v>0.10580144595309467</v>
      </c>
      <c r="AJ19" s="52">
        <f t="shared" si="6"/>
        <v>0.12343502027861047</v>
      </c>
      <c r="AK19" s="52">
        <f t="shared" si="7"/>
        <v>95.750308587550677</v>
      </c>
      <c r="AL19" s="52">
        <f t="shared" si="8"/>
        <v>5.2900722976547333E-2</v>
      </c>
      <c r="AM19" s="52" t="e">
        <f t="shared" si="9"/>
        <v>#VALUE!</v>
      </c>
      <c r="AN19" s="52" t="e">
        <f t="shared" si="10"/>
        <v>#VALUE!</v>
      </c>
      <c r="AO19" s="52" t="e">
        <f t="shared" si="11"/>
        <v>#VALUE!</v>
      </c>
      <c r="AP19" s="52"/>
      <c r="AQ19" s="52"/>
      <c r="AR19" s="50" t="s">
        <v>205</v>
      </c>
      <c r="AS19" s="50" t="s">
        <v>205</v>
      </c>
      <c r="AT19" s="51">
        <v>3.7</v>
      </c>
      <c r="AU19" s="51">
        <v>3.3</v>
      </c>
      <c r="AV19" s="51">
        <v>1</v>
      </c>
      <c r="AW19" s="51">
        <v>1385.7</v>
      </c>
      <c r="AX19" s="50"/>
      <c r="AY19" s="51">
        <v>4.4000000000000004</v>
      </c>
      <c r="AZ19" s="52">
        <v>0.1</v>
      </c>
      <c r="BA19" s="3">
        <v>7.0000000000000007E-2</v>
      </c>
      <c r="BB19" s="52">
        <v>0.04</v>
      </c>
      <c r="BC19" s="51" t="s">
        <v>207</v>
      </c>
      <c r="BD19" s="52">
        <v>0.14000000000000001</v>
      </c>
      <c r="BE19" s="51" t="s">
        <v>206</v>
      </c>
      <c r="BF19" s="52">
        <v>7.0000000000000007E-2</v>
      </c>
      <c r="BH19" s="51">
        <v>4.3</v>
      </c>
      <c r="BJ19" s="52" t="s">
        <v>159</v>
      </c>
      <c r="BK19" s="51">
        <v>3.3</v>
      </c>
      <c r="BL19" s="60" t="s">
        <v>206</v>
      </c>
      <c r="BM19" s="51">
        <v>0.4</v>
      </c>
      <c r="BN19" s="50">
        <v>144700</v>
      </c>
      <c r="BO19" s="51">
        <v>30.2</v>
      </c>
      <c r="BP19" s="52">
        <v>0.08</v>
      </c>
      <c r="BQ19" s="51">
        <v>0.8</v>
      </c>
      <c r="BR19" s="51">
        <v>0.7</v>
      </c>
      <c r="BS19" s="50" t="s">
        <v>205</v>
      </c>
      <c r="BT19" s="52">
        <v>0.08</v>
      </c>
      <c r="BU19" s="50">
        <v>1</v>
      </c>
      <c r="BV19" s="51">
        <v>0.6</v>
      </c>
      <c r="BW19" s="51" t="s">
        <v>206</v>
      </c>
      <c r="BX19" s="52">
        <v>0.02</v>
      </c>
      <c r="BY19" s="51" t="s">
        <v>211</v>
      </c>
      <c r="BZ19" s="53"/>
      <c r="CA19" s="53"/>
      <c r="CB19" s="52" t="s">
        <v>159</v>
      </c>
      <c r="CC19" s="51" t="s">
        <v>206</v>
      </c>
      <c r="CD19" s="50">
        <v>95</v>
      </c>
      <c r="CE19" s="51" t="s">
        <v>207</v>
      </c>
      <c r="CF19" s="51">
        <v>1.1000000000000001</v>
      </c>
      <c r="CG19" s="52" t="s">
        <v>226</v>
      </c>
      <c r="CH19" s="50">
        <v>121</v>
      </c>
      <c r="CI19" s="51">
        <v>0.5</v>
      </c>
      <c r="CJ19" s="53"/>
      <c r="CK19" s="53"/>
      <c r="CL19" s="53">
        <v>0.02</v>
      </c>
      <c r="CQ19" s="51">
        <v>11.2</v>
      </c>
      <c r="CR19" s="51">
        <v>10.3</v>
      </c>
      <c r="CS19" s="51">
        <v>253.4</v>
      </c>
      <c r="CT19" s="51" t="s">
        <v>206</v>
      </c>
      <c r="CU19" s="50" t="s">
        <v>205</v>
      </c>
      <c r="CV19" s="50">
        <v>55</v>
      </c>
      <c r="CX19" s="50">
        <v>27</v>
      </c>
      <c r="CY19" s="50">
        <v>2</v>
      </c>
      <c r="CZ19" s="53">
        <v>1E-3</v>
      </c>
      <c r="DA19" s="54" t="s">
        <v>208</v>
      </c>
      <c r="DB19" s="51" t="s">
        <v>206</v>
      </c>
      <c r="DC19" s="52">
        <v>0.16</v>
      </c>
      <c r="DD19" s="51" t="s">
        <v>206</v>
      </c>
      <c r="DE19" s="51">
        <v>4.5999999999999996</v>
      </c>
      <c r="DG19" s="52">
        <v>14.47</v>
      </c>
      <c r="DH19" s="52">
        <v>144700</v>
      </c>
      <c r="DI19" s="50">
        <v>513</v>
      </c>
      <c r="DJ19" s="50">
        <v>1022</v>
      </c>
      <c r="DK19" s="50">
        <v>3323</v>
      </c>
      <c r="DL19" s="1"/>
    </row>
    <row r="20" spans="1:116">
      <c r="A20" t="s">
        <v>227</v>
      </c>
      <c r="B20" t="s">
        <v>223</v>
      </c>
      <c r="C20">
        <v>174.52</v>
      </c>
      <c r="E20" s="50">
        <v>376</v>
      </c>
      <c r="F20" s="50"/>
      <c r="G20" s="51">
        <v>710.1</v>
      </c>
      <c r="H20" s="51">
        <v>881.4</v>
      </c>
      <c r="K20" s="50">
        <v>37300</v>
      </c>
      <c r="L20" s="3">
        <v>3.8866666666666667</v>
      </c>
      <c r="M20" s="52">
        <v>32.9</v>
      </c>
      <c r="O20" s="51" t="s">
        <v>209</v>
      </c>
      <c r="Q20" s="51">
        <v>9.1</v>
      </c>
      <c r="R20" s="52">
        <v>0.05</v>
      </c>
      <c r="S20" s="52">
        <v>0.06</v>
      </c>
      <c r="T20" s="52">
        <v>28.78</v>
      </c>
      <c r="U20" s="52" t="s">
        <v>159</v>
      </c>
      <c r="V20" s="52">
        <v>7.0000000000000007E-2</v>
      </c>
      <c r="W20" s="52">
        <v>0.12</v>
      </c>
      <c r="X20" s="52" t="s">
        <v>159</v>
      </c>
      <c r="Y20" s="52">
        <v>0.01</v>
      </c>
      <c r="Z20" s="52">
        <v>0.94</v>
      </c>
      <c r="AA20" s="52" t="s">
        <v>159</v>
      </c>
      <c r="AB20" s="51">
        <v>22.6</v>
      </c>
      <c r="AC20" s="51">
        <f t="shared" si="0"/>
        <v>30.030000000000005</v>
      </c>
      <c r="AD20" s="52">
        <v>57</v>
      </c>
      <c r="AE20" s="52">
        <f t="shared" si="1"/>
        <v>3.3300033300033296</v>
      </c>
      <c r="AF20" s="52">
        <f t="shared" si="2"/>
        <v>3.1302031302031295</v>
      </c>
      <c r="AG20" s="52" t="e">
        <f t="shared" si="3"/>
        <v>#VALUE!</v>
      </c>
      <c r="AH20" s="52">
        <f t="shared" si="4"/>
        <v>0.1665001665001665</v>
      </c>
      <c r="AI20" s="52">
        <f t="shared" si="5"/>
        <v>0.23310023310023309</v>
      </c>
      <c r="AJ20" s="52">
        <f t="shared" si="6"/>
        <v>0.39960039960039956</v>
      </c>
      <c r="AK20" s="52">
        <f t="shared" si="7"/>
        <v>95.837495837495823</v>
      </c>
      <c r="AL20" s="52">
        <f t="shared" si="8"/>
        <v>0.19980019980019978</v>
      </c>
      <c r="AM20" s="52" t="e">
        <f t="shared" si="9"/>
        <v>#VALUE!</v>
      </c>
      <c r="AN20" s="52" t="e">
        <f t="shared" si="10"/>
        <v>#VALUE!</v>
      </c>
      <c r="AO20" s="52">
        <f t="shared" si="11"/>
        <v>3.3300033300033297E-2</v>
      </c>
      <c r="AP20" s="52"/>
      <c r="AQ20" s="52"/>
      <c r="AR20" s="50">
        <v>1</v>
      </c>
      <c r="AS20" s="50">
        <v>3</v>
      </c>
      <c r="AT20" s="51">
        <v>2.4</v>
      </c>
      <c r="AU20" s="51">
        <v>2.6</v>
      </c>
      <c r="AV20" s="51">
        <v>3.3</v>
      </c>
      <c r="AW20" s="51">
        <v>898.3</v>
      </c>
      <c r="AX20" s="50"/>
      <c r="AY20" s="51">
        <v>4.9000000000000004</v>
      </c>
      <c r="AZ20" s="52">
        <v>0.43</v>
      </c>
      <c r="BA20" s="3">
        <v>0.15</v>
      </c>
      <c r="BB20" s="52">
        <v>0.16</v>
      </c>
      <c r="BC20" s="51" t="s">
        <v>207</v>
      </c>
      <c r="BD20" s="52">
        <v>0.37</v>
      </c>
      <c r="BE20" s="51" t="s">
        <v>206</v>
      </c>
      <c r="BF20" s="52">
        <v>0.49</v>
      </c>
      <c r="BH20" s="51">
        <v>0.8</v>
      </c>
      <c r="BJ20" s="52">
        <v>0.01</v>
      </c>
      <c r="BK20" s="51">
        <v>4.9000000000000004</v>
      </c>
      <c r="BL20" s="60">
        <v>0.3</v>
      </c>
      <c r="BM20" s="51">
        <v>1.4</v>
      </c>
      <c r="BN20" s="50">
        <v>97899.999999999985</v>
      </c>
      <c r="BO20" s="51">
        <v>45.8</v>
      </c>
      <c r="BP20" s="52">
        <v>0.32</v>
      </c>
      <c r="BQ20" s="51">
        <v>1</v>
      </c>
      <c r="BR20" s="51">
        <v>1.3</v>
      </c>
      <c r="BS20" s="50" t="s">
        <v>205</v>
      </c>
      <c r="BT20" s="52">
        <v>0.33</v>
      </c>
      <c r="BU20" s="50" t="s">
        <v>205</v>
      </c>
      <c r="BV20" s="51">
        <v>1.1000000000000001</v>
      </c>
      <c r="BW20" s="51" t="s">
        <v>206</v>
      </c>
      <c r="BX20" s="52">
        <v>0.05</v>
      </c>
      <c r="BY20" s="51" t="s">
        <v>211</v>
      </c>
      <c r="BZ20" s="53"/>
      <c r="CA20" s="53"/>
      <c r="CB20" s="52">
        <v>0.03</v>
      </c>
      <c r="CC20" s="51" t="s">
        <v>206</v>
      </c>
      <c r="CD20" s="50">
        <v>23</v>
      </c>
      <c r="CE20" s="51" t="s">
        <v>207</v>
      </c>
      <c r="CF20" s="51">
        <v>2.8</v>
      </c>
      <c r="CG20" s="52">
        <v>0.11</v>
      </c>
      <c r="CH20" s="50">
        <v>118</v>
      </c>
      <c r="CI20" s="51">
        <v>1.1000000000000001</v>
      </c>
      <c r="CJ20" s="53"/>
      <c r="CK20" s="53"/>
      <c r="CL20" s="53">
        <v>2E-3</v>
      </c>
      <c r="CQ20" s="51">
        <v>12.2</v>
      </c>
      <c r="CR20" s="51">
        <v>19.8</v>
      </c>
      <c r="CS20" s="51">
        <v>361.6</v>
      </c>
      <c r="CT20" s="51" t="s">
        <v>206</v>
      </c>
      <c r="CU20" s="50" t="s">
        <v>205</v>
      </c>
      <c r="CV20" s="50">
        <v>42</v>
      </c>
      <c r="CX20" s="50">
        <v>10</v>
      </c>
      <c r="CY20" s="50">
        <v>2</v>
      </c>
      <c r="CZ20" s="53" t="s">
        <v>212</v>
      </c>
      <c r="DA20" s="54" t="s">
        <v>208</v>
      </c>
      <c r="DB20" s="51" t="s">
        <v>206</v>
      </c>
      <c r="DC20" s="52">
        <v>0.22</v>
      </c>
      <c r="DD20" s="51" t="s">
        <v>206</v>
      </c>
      <c r="DE20" s="51">
        <v>5</v>
      </c>
      <c r="DG20" s="52">
        <v>9.7899999999999991</v>
      </c>
      <c r="DH20" s="52">
        <v>97899.999999999985</v>
      </c>
      <c r="DI20" s="48" t="s">
        <v>213</v>
      </c>
      <c r="DJ20" s="48" t="s">
        <v>213</v>
      </c>
      <c r="DK20" s="48" t="s">
        <v>213</v>
      </c>
      <c r="DL20" s="1"/>
    </row>
    <row r="21" spans="1:116">
      <c r="A21" t="s">
        <v>228</v>
      </c>
      <c r="B21" t="s">
        <v>229</v>
      </c>
      <c r="C21">
        <v>139.55000000000001</v>
      </c>
      <c r="E21" s="50">
        <v>319</v>
      </c>
      <c r="F21" s="50"/>
      <c r="G21" s="51">
        <v>541.20000000000005</v>
      </c>
      <c r="H21" s="51">
        <v>343.6</v>
      </c>
      <c r="K21" s="50">
        <v>15200</v>
      </c>
      <c r="L21" s="3">
        <v>5.2066666666666661</v>
      </c>
      <c r="M21" s="52">
        <v>8.36</v>
      </c>
      <c r="O21" s="51">
        <v>35</v>
      </c>
      <c r="Q21" s="51">
        <v>2.7</v>
      </c>
      <c r="R21" s="52">
        <v>9.34</v>
      </c>
      <c r="S21" s="52">
        <v>5.32</v>
      </c>
      <c r="T21" s="52">
        <v>24.44</v>
      </c>
      <c r="U21" s="52" t="s">
        <v>159</v>
      </c>
      <c r="V21" s="52">
        <v>12.74</v>
      </c>
      <c r="W21" s="52">
        <v>0.19</v>
      </c>
      <c r="X21" s="52">
        <v>0.02</v>
      </c>
      <c r="Y21" s="52">
        <v>0.02</v>
      </c>
      <c r="Z21" s="52">
        <v>31.21</v>
      </c>
      <c r="AA21" s="52">
        <v>0.48</v>
      </c>
      <c r="AB21" s="51">
        <v>11.6</v>
      </c>
      <c r="AC21" s="51">
        <f t="shared" si="0"/>
        <v>83.76</v>
      </c>
      <c r="AD21" s="52">
        <v>98.09</v>
      </c>
      <c r="AE21" s="52">
        <f t="shared" si="1"/>
        <v>1.1938872970391594</v>
      </c>
      <c r="AF21" s="52">
        <f t="shared" si="2"/>
        <v>37.261222540592165</v>
      </c>
      <c r="AG21" s="52">
        <f t="shared" si="3"/>
        <v>0.57306590257879653</v>
      </c>
      <c r="AH21" s="52">
        <f t="shared" si="4"/>
        <v>11.150907354345749</v>
      </c>
      <c r="AI21" s="52">
        <f t="shared" si="5"/>
        <v>15.210124164278891</v>
      </c>
      <c r="AJ21" s="52">
        <f t="shared" si="6"/>
        <v>0.22683858643744029</v>
      </c>
      <c r="AK21" s="52">
        <f t="shared" si="7"/>
        <v>29.178605539637058</v>
      </c>
      <c r="AL21" s="52">
        <f t="shared" si="8"/>
        <v>6.3514804202483282</v>
      </c>
      <c r="AM21" s="52">
        <f t="shared" si="9"/>
        <v>2.387774594078319E-2</v>
      </c>
      <c r="AN21" s="52" t="e">
        <f t="shared" si="10"/>
        <v>#VALUE!</v>
      </c>
      <c r="AO21" s="52">
        <f t="shared" si="11"/>
        <v>2.387774594078319E-2</v>
      </c>
      <c r="AP21" s="52"/>
      <c r="AQ21" s="52"/>
      <c r="AR21" s="50">
        <v>38</v>
      </c>
      <c r="AS21" s="50">
        <v>1</v>
      </c>
      <c r="AT21" s="51">
        <v>1.4</v>
      </c>
      <c r="AU21" s="51">
        <v>1.3</v>
      </c>
      <c r="AV21" s="51">
        <v>7.2</v>
      </c>
      <c r="AW21" s="51">
        <v>488.8</v>
      </c>
      <c r="AX21" s="50"/>
      <c r="AY21" s="51">
        <v>5.0999999999999996</v>
      </c>
      <c r="AZ21" s="52">
        <v>2.1</v>
      </c>
      <c r="BA21" s="3">
        <v>1.37</v>
      </c>
      <c r="BB21" s="52">
        <v>0.57999999999999996</v>
      </c>
      <c r="BC21" s="51">
        <v>7.5</v>
      </c>
      <c r="BD21" s="52">
        <v>1.89</v>
      </c>
      <c r="BE21" s="51">
        <v>0.9</v>
      </c>
      <c r="BF21" s="52">
        <v>0.64</v>
      </c>
      <c r="BH21" s="51">
        <v>1.9</v>
      </c>
      <c r="BJ21" s="52">
        <v>0.19</v>
      </c>
      <c r="BK21" s="51">
        <v>0.3</v>
      </c>
      <c r="BL21" s="60">
        <v>1.7</v>
      </c>
      <c r="BM21" s="51">
        <v>4.5</v>
      </c>
      <c r="BN21" s="50">
        <v>23200</v>
      </c>
      <c r="BO21" s="51">
        <v>27</v>
      </c>
      <c r="BP21" s="52">
        <v>0.98</v>
      </c>
      <c r="BQ21" s="51">
        <v>0.8</v>
      </c>
      <c r="BR21" s="51">
        <v>0.4</v>
      </c>
      <c r="BS21" s="50">
        <v>20</v>
      </c>
      <c r="BT21" s="52">
        <v>1.33</v>
      </c>
      <c r="BU21" s="50" t="s">
        <v>205</v>
      </c>
      <c r="BV21" s="51">
        <v>89.8</v>
      </c>
      <c r="BW21" s="51" t="s">
        <v>206</v>
      </c>
      <c r="BX21" s="52">
        <v>0.35</v>
      </c>
      <c r="BY21" s="51">
        <v>0.4</v>
      </c>
      <c r="BZ21" s="53"/>
      <c r="CA21" s="53"/>
      <c r="CB21" s="52">
        <v>0.2</v>
      </c>
      <c r="CC21" s="51" t="s">
        <v>206</v>
      </c>
      <c r="CD21" s="50">
        <v>135</v>
      </c>
      <c r="CE21" s="51" t="s">
        <v>207</v>
      </c>
      <c r="CF21" s="51">
        <v>14</v>
      </c>
      <c r="CG21" s="52">
        <v>1.28</v>
      </c>
      <c r="CH21" s="50">
        <v>84</v>
      </c>
      <c r="CI21" s="51">
        <v>33.6</v>
      </c>
      <c r="CJ21" s="53"/>
      <c r="CK21" s="53"/>
      <c r="CL21" s="53">
        <v>9.7000000000000003E-2</v>
      </c>
      <c r="CQ21" s="51">
        <v>5.5</v>
      </c>
      <c r="CR21" s="51">
        <v>18</v>
      </c>
      <c r="CS21" s="51">
        <v>401.9</v>
      </c>
      <c r="CT21" s="51">
        <v>0.3</v>
      </c>
      <c r="CU21" s="50">
        <v>87</v>
      </c>
      <c r="CV21" s="50">
        <v>130</v>
      </c>
      <c r="CX21" s="50">
        <v>619</v>
      </c>
      <c r="CY21" s="50">
        <v>37</v>
      </c>
      <c r="CZ21" s="53">
        <v>1.2999999999999999E-2</v>
      </c>
      <c r="DA21" s="54" t="s">
        <v>208</v>
      </c>
      <c r="DB21" s="51" t="s">
        <v>206</v>
      </c>
      <c r="DC21" s="52">
        <v>0.08</v>
      </c>
      <c r="DD21" s="51">
        <v>17.3</v>
      </c>
      <c r="DE21" s="51">
        <v>0.3</v>
      </c>
      <c r="DG21" s="52">
        <v>2.3199999999999998</v>
      </c>
      <c r="DH21" s="52">
        <v>23200</v>
      </c>
      <c r="DI21" s="48" t="s">
        <v>213</v>
      </c>
      <c r="DJ21" s="48" t="s">
        <v>213</v>
      </c>
      <c r="DK21" s="48" t="s">
        <v>213</v>
      </c>
      <c r="DL21" s="1">
        <v>2017.1428571428571</v>
      </c>
    </row>
    <row r="22" spans="1:116">
      <c r="A22" t="s">
        <v>230</v>
      </c>
      <c r="B22" t="s">
        <v>229</v>
      </c>
      <c r="C22">
        <v>143.69999999999999</v>
      </c>
      <c r="E22" s="50">
        <v>8</v>
      </c>
      <c r="F22" s="50"/>
      <c r="G22" s="51">
        <v>7.8</v>
      </c>
      <c r="H22" s="51">
        <v>5.7</v>
      </c>
      <c r="K22" s="50">
        <v>352.1</v>
      </c>
      <c r="L22" s="3">
        <v>3.6300000000000003</v>
      </c>
      <c r="M22" s="52">
        <v>0.23</v>
      </c>
      <c r="O22" s="51">
        <v>0.9</v>
      </c>
      <c r="Q22" s="51" t="s">
        <v>211</v>
      </c>
      <c r="R22" s="52">
        <v>14.01</v>
      </c>
      <c r="S22" s="52">
        <v>5.25</v>
      </c>
      <c r="T22" s="52">
        <v>12.07</v>
      </c>
      <c r="U22" s="52">
        <v>0.63</v>
      </c>
      <c r="V22" s="52">
        <v>12.9</v>
      </c>
      <c r="W22" s="52">
        <v>0.17</v>
      </c>
      <c r="X22" s="52">
        <v>2.16</v>
      </c>
      <c r="Y22" s="52">
        <v>0.06</v>
      </c>
      <c r="Z22" s="52">
        <v>43.1</v>
      </c>
      <c r="AA22" s="52">
        <v>0.78</v>
      </c>
      <c r="AB22" s="51">
        <v>8.3000000000000007</v>
      </c>
      <c r="AC22" s="51">
        <f t="shared" si="0"/>
        <v>91.13</v>
      </c>
      <c r="AD22" s="52">
        <v>99.61</v>
      </c>
      <c r="AE22" s="52">
        <f t="shared" si="1"/>
        <v>1.097333479644464</v>
      </c>
      <c r="AF22" s="52">
        <f t="shared" si="2"/>
        <v>47.295072972676401</v>
      </c>
      <c r="AG22" s="52">
        <f t="shared" si="3"/>
        <v>0.85592011412268199</v>
      </c>
      <c r="AH22" s="52">
        <f t="shared" si="4"/>
        <v>15.37364204981894</v>
      </c>
      <c r="AI22" s="52">
        <f t="shared" si="5"/>
        <v>14.155601887413587</v>
      </c>
      <c r="AJ22" s="52">
        <f t="shared" si="6"/>
        <v>0.18654669153955891</v>
      </c>
      <c r="AK22" s="52">
        <f t="shared" si="7"/>
        <v>13.244815099308681</v>
      </c>
      <c r="AL22" s="52">
        <f t="shared" si="8"/>
        <v>5.7610007681334361</v>
      </c>
      <c r="AM22" s="52">
        <f t="shared" si="9"/>
        <v>2.3702403160320427</v>
      </c>
      <c r="AN22" s="52">
        <f t="shared" si="10"/>
        <v>0.69132009217601231</v>
      </c>
      <c r="AO22" s="52">
        <f t="shared" si="11"/>
        <v>6.5840008778667844E-2</v>
      </c>
      <c r="AP22" s="52"/>
      <c r="AQ22" s="52"/>
      <c r="AR22" s="50">
        <v>520</v>
      </c>
      <c r="AS22" s="50" t="s">
        <v>205</v>
      </c>
      <c r="AT22" s="51" t="s">
        <v>206</v>
      </c>
      <c r="AU22" s="51">
        <v>0.1</v>
      </c>
      <c r="AV22" s="51">
        <v>10.199999999999999</v>
      </c>
      <c r="AW22" s="51">
        <v>70.099999999999994</v>
      </c>
      <c r="AX22" s="50"/>
      <c r="AY22" s="51">
        <v>11.5</v>
      </c>
      <c r="AZ22" s="52">
        <v>3.56</v>
      </c>
      <c r="BA22" s="3">
        <v>1.82</v>
      </c>
      <c r="BB22" s="52">
        <v>0.81</v>
      </c>
      <c r="BC22" s="51">
        <v>12.5</v>
      </c>
      <c r="BD22" s="52">
        <v>2.77</v>
      </c>
      <c r="BE22" s="51">
        <v>1.5</v>
      </c>
      <c r="BF22" s="52">
        <v>0.64</v>
      </c>
      <c r="BH22" s="51">
        <v>3.3</v>
      </c>
      <c r="BJ22" s="52">
        <v>0.31</v>
      </c>
      <c r="BK22" s="51">
        <v>0.2</v>
      </c>
      <c r="BL22" s="60">
        <v>2.5</v>
      </c>
      <c r="BM22" s="51">
        <v>5.7</v>
      </c>
      <c r="BN22" s="50">
        <v>678</v>
      </c>
      <c r="BO22" s="51">
        <v>0.9</v>
      </c>
      <c r="BP22" s="52">
        <v>1.5</v>
      </c>
      <c r="BQ22" s="51">
        <v>31.3</v>
      </c>
      <c r="BR22" s="51" t="s">
        <v>206</v>
      </c>
      <c r="BS22" s="50">
        <v>36</v>
      </c>
      <c r="BT22" s="52">
        <v>1.94</v>
      </c>
      <c r="BU22" s="50" t="s">
        <v>205</v>
      </c>
      <c r="BV22" s="51">
        <v>147.9</v>
      </c>
      <c r="BW22" s="51">
        <v>0.3</v>
      </c>
      <c r="BX22" s="52">
        <v>0.5</v>
      </c>
      <c r="BY22" s="51">
        <v>1</v>
      </c>
      <c r="BZ22" s="53"/>
      <c r="CA22" s="53"/>
      <c r="CB22" s="52">
        <v>0.27</v>
      </c>
      <c r="CC22" s="51">
        <v>0.3</v>
      </c>
      <c r="CD22" s="50">
        <v>245</v>
      </c>
      <c r="CE22" s="51" t="s">
        <v>207</v>
      </c>
      <c r="CF22" s="51">
        <v>20.5</v>
      </c>
      <c r="CG22" s="52">
        <v>2.0699999999999998</v>
      </c>
      <c r="CH22" s="50">
        <v>59</v>
      </c>
      <c r="CI22" s="51">
        <v>49.7</v>
      </c>
      <c r="CJ22" s="53"/>
      <c r="CK22" s="53"/>
      <c r="CL22" s="53">
        <v>0.09</v>
      </c>
      <c r="CQ22" s="51">
        <v>0.1</v>
      </c>
      <c r="CR22" s="51">
        <v>1.2</v>
      </c>
      <c r="CS22" s="51">
        <v>4.0999999999999996</v>
      </c>
      <c r="CT22" s="51">
        <v>0.7</v>
      </c>
      <c r="CU22" s="50">
        <v>92</v>
      </c>
      <c r="CV22" s="50">
        <v>169</v>
      </c>
      <c r="CX22" s="50">
        <v>471</v>
      </c>
      <c r="CY22" s="50">
        <v>216</v>
      </c>
      <c r="CZ22" s="53">
        <v>0.11799999999999999</v>
      </c>
      <c r="DA22" s="54" t="s">
        <v>208</v>
      </c>
      <c r="DB22" s="51" t="s">
        <v>206</v>
      </c>
      <c r="DC22" s="52" t="s">
        <v>159</v>
      </c>
      <c r="DD22" s="51">
        <v>20.3</v>
      </c>
      <c r="DE22" s="51">
        <v>0.2</v>
      </c>
      <c r="DF22" s="50"/>
      <c r="DG22" s="48" t="s">
        <v>213</v>
      </c>
      <c r="DH22" s="52"/>
      <c r="DI22" s="48" t="s">
        <v>213</v>
      </c>
      <c r="DJ22" s="48" t="s">
        <v>213</v>
      </c>
      <c r="DK22" s="48" t="s">
        <v>213</v>
      </c>
      <c r="DL22" s="1">
        <v>2222.2222222222222</v>
      </c>
    </row>
    <row r="23" spans="1:116">
      <c r="A23" t="s">
        <v>231</v>
      </c>
      <c r="B23" t="s">
        <v>229</v>
      </c>
      <c r="C23">
        <v>145.19999999999999</v>
      </c>
      <c r="E23" s="50">
        <v>6</v>
      </c>
      <c r="F23" s="50"/>
      <c r="G23" s="51">
        <v>3.3</v>
      </c>
      <c r="H23" s="51">
        <v>2.2999999999999998</v>
      </c>
      <c r="K23" s="50">
        <v>175</v>
      </c>
      <c r="L23" s="3">
        <v>2.7133333333333334</v>
      </c>
      <c r="M23" s="52">
        <v>0.13</v>
      </c>
      <c r="O23" s="51" t="s">
        <v>207</v>
      </c>
      <c r="Q23" s="51" t="s">
        <v>211</v>
      </c>
      <c r="R23" s="52">
        <v>14.75</v>
      </c>
      <c r="S23" s="52">
        <v>3.57</v>
      </c>
      <c r="T23" s="52">
        <v>11.95</v>
      </c>
      <c r="U23" s="52">
        <v>1.05</v>
      </c>
      <c r="V23" s="52">
        <v>12.2</v>
      </c>
      <c r="W23" s="52">
        <v>0.15</v>
      </c>
      <c r="X23" s="52">
        <v>1.6</v>
      </c>
      <c r="Y23" s="52">
        <v>0.05</v>
      </c>
      <c r="Z23" s="52">
        <v>44.59</v>
      </c>
      <c r="AA23" s="52">
        <v>0.83</v>
      </c>
      <c r="AB23" s="51">
        <v>8.6999999999999993</v>
      </c>
      <c r="AC23" s="51">
        <f t="shared" si="0"/>
        <v>90.74</v>
      </c>
      <c r="AD23" s="52">
        <v>99.57</v>
      </c>
      <c r="AE23" s="52">
        <f t="shared" si="1"/>
        <v>1.1020498126515319</v>
      </c>
      <c r="AF23" s="52">
        <f t="shared" si="2"/>
        <v>49.140401146131808</v>
      </c>
      <c r="AG23" s="52">
        <f t="shared" si="3"/>
        <v>0.91470134450077145</v>
      </c>
      <c r="AH23" s="52">
        <f t="shared" si="4"/>
        <v>16.255234736610095</v>
      </c>
      <c r="AI23" s="52">
        <f t="shared" si="5"/>
        <v>13.445007714348689</v>
      </c>
      <c r="AJ23" s="52">
        <f t="shared" si="6"/>
        <v>0.16530747189772979</v>
      </c>
      <c r="AK23" s="52">
        <f t="shared" si="7"/>
        <v>13.169495261185805</v>
      </c>
      <c r="AL23" s="52">
        <f t="shared" si="8"/>
        <v>3.9343178311659686</v>
      </c>
      <c r="AM23" s="52">
        <f t="shared" si="9"/>
        <v>1.7632797002424512</v>
      </c>
      <c r="AN23" s="52">
        <f t="shared" si="10"/>
        <v>1.1571523032841085</v>
      </c>
      <c r="AO23" s="52">
        <f t="shared" si="11"/>
        <v>5.5102490632576599E-2</v>
      </c>
      <c r="AP23" s="52"/>
      <c r="AQ23" s="52"/>
      <c r="AR23" s="50">
        <v>1101</v>
      </c>
      <c r="AS23" s="50">
        <v>1</v>
      </c>
      <c r="AT23" s="51" t="s">
        <v>206</v>
      </c>
      <c r="AU23" s="51" t="s">
        <v>206</v>
      </c>
      <c r="AV23" s="51">
        <v>9.8000000000000007</v>
      </c>
      <c r="AW23" s="51">
        <v>71.400000000000006</v>
      </c>
      <c r="AX23" s="50"/>
      <c r="AY23" s="51">
        <v>7</v>
      </c>
      <c r="AZ23" s="52">
        <v>3.1</v>
      </c>
      <c r="BA23" s="3">
        <v>2.11</v>
      </c>
      <c r="BB23" s="52">
        <v>0.63</v>
      </c>
      <c r="BC23" s="51">
        <v>12.8</v>
      </c>
      <c r="BD23" s="52">
        <v>2.68</v>
      </c>
      <c r="BE23" s="51">
        <v>1.4</v>
      </c>
      <c r="BF23" s="52">
        <v>1.1499999999999999</v>
      </c>
      <c r="BH23" s="51">
        <v>3.8</v>
      </c>
      <c r="BJ23" s="52">
        <v>0.32</v>
      </c>
      <c r="BK23" s="51">
        <v>0.1</v>
      </c>
      <c r="BL23" s="60">
        <v>2.5</v>
      </c>
      <c r="BM23" s="51">
        <v>6</v>
      </c>
      <c r="BN23" s="50">
        <v>750</v>
      </c>
      <c r="BO23" s="51">
        <v>1.3</v>
      </c>
      <c r="BP23" s="52">
        <v>1.24</v>
      </c>
      <c r="BQ23" s="51">
        <v>34.5</v>
      </c>
      <c r="BR23" s="51" t="s">
        <v>206</v>
      </c>
      <c r="BS23" s="50">
        <v>37</v>
      </c>
      <c r="BT23" s="52">
        <v>1.66</v>
      </c>
      <c r="BU23" s="50" t="s">
        <v>205</v>
      </c>
      <c r="BV23" s="51">
        <v>204.3</v>
      </c>
      <c r="BW23" s="51">
        <v>0.1</v>
      </c>
      <c r="BX23" s="52">
        <v>0.49</v>
      </c>
      <c r="BY23" s="51">
        <v>0.9</v>
      </c>
      <c r="BZ23" s="53"/>
      <c r="CA23" s="53"/>
      <c r="CB23" s="52">
        <v>0.31</v>
      </c>
      <c r="CC23" s="51">
        <v>0.2</v>
      </c>
      <c r="CD23" s="50">
        <v>264</v>
      </c>
      <c r="CE23" s="51" t="s">
        <v>207</v>
      </c>
      <c r="CF23" s="51">
        <v>17</v>
      </c>
      <c r="CG23" s="52">
        <v>1.65</v>
      </c>
      <c r="CH23" s="50">
        <v>82</v>
      </c>
      <c r="CI23" s="51">
        <v>46.9</v>
      </c>
      <c r="CJ23" s="53"/>
      <c r="CK23" s="53"/>
      <c r="CL23" s="53">
        <v>8.4000000000000005E-2</v>
      </c>
      <c r="CQ23" s="51" t="s">
        <v>206</v>
      </c>
      <c r="CR23" s="51">
        <v>1.2</v>
      </c>
      <c r="CS23" s="51" t="s">
        <v>207</v>
      </c>
      <c r="CT23" s="51">
        <v>0.4</v>
      </c>
      <c r="CU23" s="50">
        <v>94</v>
      </c>
      <c r="CV23" s="50">
        <v>204</v>
      </c>
      <c r="CX23" s="50">
        <v>480</v>
      </c>
      <c r="CY23" s="50">
        <v>823</v>
      </c>
      <c r="CZ23" s="53">
        <v>5.0999999999999997E-2</v>
      </c>
      <c r="DA23" s="54" t="s">
        <v>208</v>
      </c>
      <c r="DB23" s="51" t="s">
        <v>206</v>
      </c>
      <c r="DC23" s="52" t="s">
        <v>159</v>
      </c>
      <c r="DD23" s="51">
        <v>22.3</v>
      </c>
      <c r="DE23" s="51" t="s">
        <v>206</v>
      </c>
      <c r="DF23" s="50"/>
      <c r="DG23" s="48" t="s">
        <v>213</v>
      </c>
      <c r="DH23" s="52"/>
      <c r="DI23" s="48" t="s">
        <v>213</v>
      </c>
      <c r="DJ23" s="48" t="s">
        <v>213</v>
      </c>
      <c r="DK23" s="48" t="s">
        <v>213</v>
      </c>
      <c r="DL23" s="1"/>
    </row>
    <row r="24" spans="1:116">
      <c r="A24" t="s">
        <v>232</v>
      </c>
      <c r="B24" t="s">
        <v>233</v>
      </c>
      <c r="C24">
        <v>335.2</v>
      </c>
      <c r="E24" s="50">
        <v>3</v>
      </c>
      <c r="F24" s="50"/>
      <c r="G24" s="51">
        <v>1.4</v>
      </c>
      <c r="H24" s="51">
        <v>0.7</v>
      </c>
      <c r="K24" s="50">
        <v>266.10000000000002</v>
      </c>
      <c r="L24" s="3">
        <v>1.1733333333333333</v>
      </c>
      <c r="M24" s="52">
        <v>3.07</v>
      </c>
      <c r="O24" s="51">
        <v>3.9</v>
      </c>
      <c r="Q24" s="51" t="s">
        <v>211</v>
      </c>
      <c r="R24" s="52">
        <v>14.09</v>
      </c>
      <c r="S24" s="52">
        <v>3.8</v>
      </c>
      <c r="T24" s="52">
        <v>28.1</v>
      </c>
      <c r="U24" s="52">
        <v>0.13</v>
      </c>
      <c r="V24" s="52">
        <v>9.25</v>
      </c>
      <c r="W24" s="52">
        <v>0.24</v>
      </c>
      <c r="X24" s="52">
        <v>0.71</v>
      </c>
      <c r="Y24" s="52">
        <v>7.0000000000000007E-2</v>
      </c>
      <c r="Z24" s="52">
        <v>33.03</v>
      </c>
      <c r="AA24" s="52">
        <v>1.96</v>
      </c>
      <c r="AB24" s="51">
        <v>8.1999999999999993</v>
      </c>
      <c r="AC24" s="51">
        <f t="shared" si="0"/>
        <v>91.38000000000001</v>
      </c>
      <c r="AD24" s="52">
        <v>99.63</v>
      </c>
      <c r="AE24" s="52">
        <f t="shared" si="1"/>
        <v>1.0943313635368788</v>
      </c>
      <c r="AF24" s="52">
        <f t="shared" si="2"/>
        <v>36.145764937623106</v>
      </c>
      <c r="AG24" s="52">
        <f t="shared" si="3"/>
        <v>2.1448894725322822</v>
      </c>
      <c r="AH24" s="52">
        <f t="shared" si="4"/>
        <v>15.419128912234621</v>
      </c>
      <c r="AI24" s="52">
        <f t="shared" si="5"/>
        <v>10.122565112716128</v>
      </c>
      <c r="AJ24" s="52">
        <f t="shared" si="6"/>
        <v>0.26263952724885087</v>
      </c>
      <c r="AK24" s="52">
        <f t="shared" si="7"/>
        <v>30.750711315386294</v>
      </c>
      <c r="AL24" s="52">
        <f t="shared" si="8"/>
        <v>4.158459181440139</v>
      </c>
      <c r="AM24" s="52">
        <f t="shared" si="9"/>
        <v>0.77697526811118389</v>
      </c>
      <c r="AN24" s="52">
        <f t="shared" si="10"/>
        <v>0.14226307725979426</v>
      </c>
      <c r="AO24" s="52">
        <f t="shared" si="11"/>
        <v>7.6603195447581526E-2</v>
      </c>
      <c r="AP24" s="52"/>
      <c r="AQ24" s="52"/>
      <c r="AR24" s="50">
        <v>21</v>
      </c>
      <c r="AS24" s="50">
        <v>1</v>
      </c>
      <c r="AT24" s="51" t="s">
        <v>206</v>
      </c>
      <c r="AU24" s="51">
        <v>0.3</v>
      </c>
      <c r="AV24" s="51">
        <v>8.8000000000000007</v>
      </c>
      <c r="AW24" s="51">
        <v>132.4</v>
      </c>
      <c r="AX24" s="50"/>
      <c r="AY24" s="51">
        <v>6.5</v>
      </c>
      <c r="AZ24" s="52">
        <v>6.3</v>
      </c>
      <c r="BA24" s="3">
        <v>3.3</v>
      </c>
      <c r="BB24" s="52">
        <v>0.86</v>
      </c>
      <c r="BC24" s="51">
        <v>31.6</v>
      </c>
      <c r="BD24" s="52">
        <v>3.94</v>
      </c>
      <c r="BE24" s="51">
        <v>1.7</v>
      </c>
      <c r="BF24" s="52">
        <v>0.72</v>
      </c>
      <c r="BH24" s="51">
        <v>4.8</v>
      </c>
      <c r="BJ24" s="52">
        <v>0.43</v>
      </c>
      <c r="BK24" s="51">
        <v>0.3</v>
      </c>
      <c r="BL24" s="60">
        <v>4.7</v>
      </c>
      <c r="BM24" s="51">
        <v>5.3</v>
      </c>
      <c r="BN24" s="50">
        <v>35</v>
      </c>
      <c r="BO24" s="51">
        <v>62.1</v>
      </c>
      <c r="BP24" s="52">
        <v>1.27</v>
      </c>
      <c r="BQ24" s="51">
        <v>4.8</v>
      </c>
      <c r="BR24" s="51" t="s">
        <v>206</v>
      </c>
      <c r="BS24" s="50">
        <v>35</v>
      </c>
      <c r="BT24" s="52">
        <v>1.9</v>
      </c>
      <c r="BU24" s="50" t="s">
        <v>205</v>
      </c>
      <c r="BV24" s="51">
        <v>34.6</v>
      </c>
      <c r="BW24" s="51">
        <v>0.2</v>
      </c>
      <c r="BX24" s="52">
        <v>0.82</v>
      </c>
      <c r="BY24" s="51">
        <v>0.7</v>
      </c>
      <c r="BZ24" s="53"/>
      <c r="CA24" s="53"/>
      <c r="CB24" s="52">
        <v>0.49</v>
      </c>
      <c r="CC24" s="51">
        <v>0.1</v>
      </c>
      <c r="CD24" s="50">
        <v>833</v>
      </c>
      <c r="CE24" s="51">
        <v>0.7</v>
      </c>
      <c r="CF24" s="51">
        <v>34.9</v>
      </c>
      <c r="CG24" s="52">
        <v>2.83</v>
      </c>
      <c r="CH24" s="50">
        <v>162</v>
      </c>
      <c r="CI24" s="51">
        <v>53.9</v>
      </c>
      <c r="CJ24" s="53"/>
      <c r="CK24" s="53"/>
      <c r="CL24" s="53" t="s">
        <v>234</v>
      </c>
      <c r="CQ24" s="51">
        <v>0.2</v>
      </c>
      <c r="CR24" s="51">
        <v>0.6</v>
      </c>
      <c r="CS24" s="51" t="s">
        <v>207</v>
      </c>
      <c r="CT24" s="51">
        <v>0.3</v>
      </c>
      <c r="CU24" s="50">
        <v>21</v>
      </c>
      <c r="CV24" s="50">
        <v>548</v>
      </c>
      <c r="CX24" s="50">
        <v>3</v>
      </c>
      <c r="CY24" s="50">
        <v>4</v>
      </c>
      <c r="CZ24" s="53">
        <v>0.30099999999999999</v>
      </c>
      <c r="DA24" s="54" t="s">
        <v>208</v>
      </c>
      <c r="DB24" s="51">
        <v>0.2</v>
      </c>
      <c r="DC24" s="52" t="s">
        <v>159</v>
      </c>
      <c r="DD24" s="51">
        <v>2.2000000000000002</v>
      </c>
      <c r="DE24" s="51">
        <v>2.2000000000000002</v>
      </c>
      <c r="DF24" s="50"/>
      <c r="DG24" s="48" t="s">
        <v>213</v>
      </c>
      <c r="DH24" s="52"/>
      <c r="DI24" s="48" t="s">
        <v>213</v>
      </c>
      <c r="DJ24" s="48" t="s">
        <v>213</v>
      </c>
      <c r="DK24" s="48" t="s">
        <v>213</v>
      </c>
      <c r="DL24" s="1">
        <v>6410.2564102564102</v>
      </c>
    </row>
    <row r="25" spans="1:116">
      <c r="A25" t="s">
        <v>235</v>
      </c>
      <c r="B25" t="s">
        <v>233</v>
      </c>
      <c r="C25">
        <v>356.3</v>
      </c>
      <c r="E25" s="50">
        <v>3</v>
      </c>
      <c r="F25" s="50"/>
      <c r="G25" s="51">
        <v>1</v>
      </c>
      <c r="H25" s="51">
        <v>0.5</v>
      </c>
      <c r="K25" s="50">
        <v>85.2</v>
      </c>
      <c r="L25" s="3">
        <v>0.25666666666666665</v>
      </c>
      <c r="M25" s="52">
        <v>0.18</v>
      </c>
      <c r="O25" s="51" t="s">
        <v>207</v>
      </c>
      <c r="Q25" s="51" t="s">
        <v>211</v>
      </c>
      <c r="R25" s="52">
        <v>13.67</v>
      </c>
      <c r="S25" s="52">
        <v>10.78</v>
      </c>
      <c r="T25" s="52">
        <v>9.9</v>
      </c>
      <c r="U25" s="52">
        <v>1.74</v>
      </c>
      <c r="V25" s="52">
        <v>10.08</v>
      </c>
      <c r="W25" s="52">
        <v>0.2</v>
      </c>
      <c r="X25" s="52">
        <v>1.74</v>
      </c>
      <c r="Y25" s="52">
        <v>0.01</v>
      </c>
      <c r="Z25" s="52">
        <v>47.71</v>
      </c>
      <c r="AA25" s="52">
        <v>0.56000000000000005</v>
      </c>
      <c r="AB25" s="51">
        <v>3.2</v>
      </c>
      <c r="AC25" s="51">
        <f t="shared" si="0"/>
        <v>96.390000000000015</v>
      </c>
      <c r="AD25" s="52">
        <v>99.66</v>
      </c>
      <c r="AE25" s="52">
        <f t="shared" si="1"/>
        <v>1.0374520178441746</v>
      </c>
      <c r="AF25" s="52">
        <f t="shared" si="2"/>
        <v>49.496835771345573</v>
      </c>
      <c r="AG25" s="52">
        <f t="shared" si="3"/>
        <v>0.58097312999273787</v>
      </c>
      <c r="AH25" s="52">
        <f t="shared" si="4"/>
        <v>14.181969083929866</v>
      </c>
      <c r="AI25" s="52">
        <f t="shared" si="5"/>
        <v>10.457516339869279</v>
      </c>
      <c r="AJ25" s="52">
        <f t="shared" si="6"/>
        <v>0.20749040356883494</v>
      </c>
      <c r="AK25" s="52">
        <f t="shared" si="7"/>
        <v>10.270774976657329</v>
      </c>
      <c r="AL25" s="52">
        <f t="shared" si="8"/>
        <v>11.183732752360202</v>
      </c>
      <c r="AM25" s="52">
        <f t="shared" si="9"/>
        <v>1.8051665110488639</v>
      </c>
      <c r="AN25" s="52">
        <f t="shared" si="10"/>
        <v>1.8051665110488639</v>
      </c>
      <c r="AO25" s="52">
        <f t="shared" si="11"/>
        <v>1.0374520178441746E-2</v>
      </c>
      <c r="AP25" s="52"/>
      <c r="AQ25" s="52"/>
      <c r="AR25" s="50">
        <v>710</v>
      </c>
      <c r="AS25" s="50" t="s">
        <v>205</v>
      </c>
      <c r="AT25" s="51" t="s">
        <v>206</v>
      </c>
      <c r="AU25" s="51" t="s">
        <v>206</v>
      </c>
      <c r="AV25" s="51">
        <v>4</v>
      </c>
      <c r="AW25" s="51">
        <v>48.7</v>
      </c>
      <c r="AX25" s="50"/>
      <c r="AY25" s="51">
        <v>8.6999999999999993</v>
      </c>
      <c r="AZ25" s="52">
        <v>3.53</v>
      </c>
      <c r="BA25" s="3">
        <v>1.92</v>
      </c>
      <c r="BB25" s="52">
        <v>0.55000000000000004</v>
      </c>
      <c r="BC25" s="51">
        <v>10.9</v>
      </c>
      <c r="BD25" s="52">
        <v>2.27</v>
      </c>
      <c r="BE25" s="51">
        <v>0.9</v>
      </c>
      <c r="BF25" s="52">
        <v>0.46</v>
      </c>
      <c r="BH25" s="51">
        <v>3.3</v>
      </c>
      <c r="BJ25" s="52">
        <v>0.3</v>
      </c>
      <c r="BK25" s="51">
        <v>0.1</v>
      </c>
      <c r="BL25" s="60">
        <v>1.5</v>
      </c>
      <c r="BM25" s="51">
        <v>3.6</v>
      </c>
      <c r="BN25" s="50">
        <v>137</v>
      </c>
      <c r="BO25" s="51">
        <v>0.5</v>
      </c>
      <c r="BP25" s="52">
        <v>0.7</v>
      </c>
      <c r="BQ25" s="51">
        <v>57.5</v>
      </c>
      <c r="BR25" s="51" t="s">
        <v>206</v>
      </c>
      <c r="BS25" s="50">
        <v>63</v>
      </c>
      <c r="BT25" s="52">
        <v>1.17</v>
      </c>
      <c r="BU25" s="50" t="s">
        <v>205</v>
      </c>
      <c r="BV25" s="51">
        <v>289</v>
      </c>
      <c r="BW25" s="51">
        <v>0.1</v>
      </c>
      <c r="BX25" s="52">
        <v>0.46</v>
      </c>
      <c r="BY25" s="51">
        <v>0.4</v>
      </c>
      <c r="BZ25" s="53"/>
      <c r="CA25" s="53"/>
      <c r="CB25" s="52">
        <v>0.28000000000000003</v>
      </c>
      <c r="CC25" s="51">
        <v>0.1</v>
      </c>
      <c r="CD25" s="50">
        <v>279</v>
      </c>
      <c r="CE25" s="51" t="s">
        <v>207</v>
      </c>
      <c r="CF25" s="51">
        <v>19.899999999999999</v>
      </c>
      <c r="CG25" s="52">
        <v>1.98</v>
      </c>
      <c r="CH25" s="50">
        <v>34</v>
      </c>
      <c r="CI25" s="51">
        <v>26.9</v>
      </c>
      <c r="CJ25" s="53"/>
      <c r="CK25" s="53"/>
      <c r="CL25" s="53">
        <v>5.8000000000000003E-2</v>
      </c>
      <c r="CQ25" s="51" t="s">
        <v>206</v>
      </c>
      <c r="CR25" s="51" t="s">
        <v>207</v>
      </c>
      <c r="CS25" s="51" t="s">
        <v>207</v>
      </c>
      <c r="CT25" s="51">
        <v>0.2</v>
      </c>
      <c r="CU25" s="50">
        <v>24</v>
      </c>
      <c r="CV25" s="50">
        <v>84</v>
      </c>
      <c r="CX25" s="50">
        <v>46</v>
      </c>
      <c r="CY25" s="50">
        <v>142</v>
      </c>
      <c r="CZ25" s="53">
        <v>9.9000000000000005E-2</v>
      </c>
      <c r="DA25" s="54" t="s">
        <v>208</v>
      </c>
      <c r="DB25" s="51" t="s">
        <v>206</v>
      </c>
      <c r="DC25" s="52" t="s">
        <v>159</v>
      </c>
      <c r="DD25" s="51">
        <v>3.7</v>
      </c>
      <c r="DE25" s="51">
        <v>0.1</v>
      </c>
      <c r="DF25" s="50"/>
      <c r="DG25" s="48" t="s">
        <v>213</v>
      </c>
      <c r="DH25" s="52"/>
      <c r="DI25" s="48" t="s">
        <v>213</v>
      </c>
      <c r="DJ25" s="48" t="s">
        <v>213</v>
      </c>
      <c r="DK25" s="48" t="s">
        <v>213</v>
      </c>
      <c r="DL25" s="1"/>
    </row>
    <row r="26" spans="1:116" ht="15">
      <c r="A26" t="s">
        <v>236</v>
      </c>
      <c r="B26" t="s">
        <v>233</v>
      </c>
      <c r="C26" s="55">
        <v>376.5</v>
      </c>
      <c r="D26" s="55"/>
      <c r="E26" s="50">
        <v>9</v>
      </c>
      <c r="F26" s="50"/>
      <c r="G26" s="51">
        <v>60.8</v>
      </c>
      <c r="H26" s="51">
        <v>56.2</v>
      </c>
      <c r="K26" s="50">
        <v>247.2</v>
      </c>
      <c r="L26" s="3">
        <v>0.18333333333333335</v>
      </c>
      <c r="M26" s="52">
        <v>0.21</v>
      </c>
      <c r="O26" s="51">
        <v>0.7</v>
      </c>
      <c r="Q26" s="51">
        <v>0.2</v>
      </c>
      <c r="R26" s="52">
        <v>8.65</v>
      </c>
      <c r="S26" s="52">
        <v>2.98</v>
      </c>
      <c r="T26" s="52">
        <v>13.14</v>
      </c>
      <c r="U26" s="52">
        <v>0.04</v>
      </c>
      <c r="V26" s="52">
        <v>23.92</v>
      </c>
      <c r="W26" s="52">
        <v>0.19</v>
      </c>
      <c r="X26" s="52">
        <v>0.1</v>
      </c>
      <c r="Y26" s="52">
        <v>0.02</v>
      </c>
      <c r="Z26" s="52">
        <v>39.409999999999997</v>
      </c>
      <c r="AA26" s="52">
        <v>0.39</v>
      </c>
      <c r="AB26" s="51">
        <v>10</v>
      </c>
      <c r="AC26" s="51">
        <f t="shared" si="0"/>
        <v>88.84</v>
      </c>
      <c r="AD26" s="52">
        <v>99.52</v>
      </c>
      <c r="AE26" s="52">
        <f t="shared" si="1"/>
        <v>1.1256190904997749</v>
      </c>
      <c r="AF26" s="52">
        <f t="shared" si="2"/>
        <v>44.360648356596123</v>
      </c>
      <c r="AG26" s="52">
        <f t="shared" si="3"/>
        <v>0.43899144529491224</v>
      </c>
      <c r="AH26" s="52">
        <f t="shared" si="4"/>
        <v>9.736605132823053</v>
      </c>
      <c r="AI26" s="52">
        <f t="shared" si="5"/>
        <v>26.92480864475462</v>
      </c>
      <c r="AJ26" s="52">
        <f t="shared" si="6"/>
        <v>0.21386762719495725</v>
      </c>
      <c r="AK26" s="52">
        <f t="shared" si="7"/>
        <v>14.790634849167043</v>
      </c>
      <c r="AL26" s="52">
        <f t="shared" si="8"/>
        <v>3.3543448896893291</v>
      </c>
      <c r="AM26" s="52">
        <f t="shared" si="9"/>
        <v>0.1125619090499775</v>
      </c>
      <c r="AN26" s="52">
        <f t="shared" si="10"/>
        <v>4.5024763619990998E-2</v>
      </c>
      <c r="AO26" s="52">
        <f t="shared" si="11"/>
        <v>2.2512381809995499E-2</v>
      </c>
      <c r="AP26" s="52"/>
      <c r="AQ26" s="52"/>
      <c r="AR26" s="50">
        <v>7</v>
      </c>
      <c r="AS26" s="50" t="s">
        <v>205</v>
      </c>
      <c r="AT26" s="51" t="s">
        <v>206</v>
      </c>
      <c r="AU26" s="51">
        <v>0.1</v>
      </c>
      <c r="AV26" s="51">
        <v>2.2999999999999998</v>
      </c>
      <c r="AW26" s="51">
        <v>135.69999999999999</v>
      </c>
      <c r="AX26" s="50"/>
      <c r="AY26" s="51">
        <v>49.6</v>
      </c>
      <c r="AZ26" s="52">
        <v>2.33</v>
      </c>
      <c r="BA26" s="3">
        <v>1.41</v>
      </c>
      <c r="BB26" s="52">
        <v>0.28000000000000003</v>
      </c>
      <c r="BC26" s="51">
        <v>6.9</v>
      </c>
      <c r="BD26" s="52">
        <v>1.64</v>
      </c>
      <c r="BE26" s="51">
        <v>0.6</v>
      </c>
      <c r="BF26" s="52">
        <v>0.42</v>
      </c>
      <c r="BH26" s="51">
        <v>2.4</v>
      </c>
      <c r="BJ26" s="52">
        <v>0.18</v>
      </c>
      <c r="BK26" s="51" t="s">
        <v>206</v>
      </c>
      <c r="BL26" s="60">
        <v>0.4</v>
      </c>
      <c r="BM26" s="51">
        <v>1</v>
      </c>
      <c r="BN26" s="50">
        <v>2004</v>
      </c>
      <c r="BO26" s="51">
        <v>0.8</v>
      </c>
      <c r="BP26" s="52">
        <v>0.32</v>
      </c>
      <c r="BQ26" s="51">
        <v>11.2</v>
      </c>
      <c r="BR26" s="51" t="s">
        <v>206</v>
      </c>
      <c r="BS26" s="50">
        <v>29</v>
      </c>
      <c r="BT26" s="52">
        <v>0.89</v>
      </c>
      <c r="BU26" s="50" t="s">
        <v>205</v>
      </c>
      <c r="BV26" s="51">
        <v>25.8</v>
      </c>
      <c r="BW26" s="51" t="s">
        <v>206</v>
      </c>
      <c r="BX26" s="52">
        <v>0.32</v>
      </c>
      <c r="BY26" s="51">
        <v>0.2</v>
      </c>
      <c r="BZ26" s="53"/>
      <c r="CA26" s="53"/>
      <c r="CB26" s="52">
        <v>0.18</v>
      </c>
      <c r="CC26" s="51" t="s">
        <v>206</v>
      </c>
      <c r="CD26" s="50">
        <v>160</v>
      </c>
      <c r="CE26" s="51" t="s">
        <v>207</v>
      </c>
      <c r="CF26" s="51">
        <v>12.8</v>
      </c>
      <c r="CG26" s="52">
        <v>1.38</v>
      </c>
      <c r="CH26" s="50">
        <v>46</v>
      </c>
      <c r="CI26" s="51">
        <v>19</v>
      </c>
      <c r="CJ26" s="53"/>
      <c r="CK26" s="53"/>
      <c r="CL26" s="53">
        <v>0.48399999999999999</v>
      </c>
      <c r="CQ26" s="51">
        <v>0.1</v>
      </c>
      <c r="CR26" s="51">
        <v>1.7</v>
      </c>
      <c r="CS26" s="51">
        <v>5.4</v>
      </c>
      <c r="CT26" s="51">
        <v>0.2</v>
      </c>
      <c r="CU26" s="50">
        <v>21</v>
      </c>
      <c r="CV26" s="50">
        <v>65</v>
      </c>
      <c r="CX26" s="50">
        <v>1659</v>
      </c>
      <c r="CY26" s="50">
        <v>6</v>
      </c>
      <c r="CZ26" s="53">
        <v>4.1000000000000002E-2</v>
      </c>
      <c r="DA26" s="54">
        <v>124</v>
      </c>
      <c r="DB26" s="51" t="s">
        <v>206</v>
      </c>
      <c r="DC26" s="52" t="s">
        <v>159</v>
      </c>
      <c r="DD26" s="51">
        <v>8.6999999999999993</v>
      </c>
      <c r="DE26" s="51">
        <v>0.9</v>
      </c>
      <c r="DF26" s="50"/>
      <c r="DG26" s="48" t="s">
        <v>213</v>
      </c>
      <c r="DH26" s="52"/>
      <c r="DI26" s="48" t="s">
        <v>213</v>
      </c>
      <c r="DJ26" s="48" t="s">
        <v>213</v>
      </c>
      <c r="DK26" s="48" t="s">
        <v>213</v>
      </c>
      <c r="DL26" s="1">
        <v>2571.4285714285716</v>
      </c>
    </row>
    <row r="27" spans="1:116" ht="15">
      <c r="A27" t="s">
        <v>237</v>
      </c>
      <c r="B27" t="s">
        <v>233</v>
      </c>
      <c r="C27" s="55">
        <v>380.1</v>
      </c>
      <c r="D27" s="55"/>
      <c r="E27" s="50">
        <v>7</v>
      </c>
      <c r="F27" s="50"/>
      <c r="G27" s="51">
        <v>120.7</v>
      </c>
      <c r="H27" s="51">
        <v>42.4</v>
      </c>
      <c r="K27" s="50">
        <v>829.8</v>
      </c>
      <c r="L27" s="3">
        <v>0.10999999999999999</v>
      </c>
      <c r="M27" s="52">
        <v>0.95</v>
      </c>
      <c r="O27" s="51">
        <v>2.5</v>
      </c>
      <c r="Q27" s="51" t="s">
        <v>211</v>
      </c>
      <c r="R27" s="52">
        <v>8.67</v>
      </c>
      <c r="S27" s="52">
        <v>3.58</v>
      </c>
      <c r="T27" s="52">
        <v>12.94</v>
      </c>
      <c r="U27" s="52">
        <v>0.04</v>
      </c>
      <c r="V27" s="52">
        <v>22.2</v>
      </c>
      <c r="W27" s="52">
        <v>0.15</v>
      </c>
      <c r="X27" s="52">
        <v>0.1</v>
      </c>
      <c r="Y27" s="52">
        <v>0.02</v>
      </c>
      <c r="Z27" s="52">
        <v>42.08</v>
      </c>
      <c r="AA27" s="52">
        <v>0.37</v>
      </c>
      <c r="AB27" s="51">
        <v>8.5</v>
      </c>
      <c r="AC27" s="51">
        <f t="shared" si="0"/>
        <v>90.15</v>
      </c>
      <c r="AD27" s="52">
        <v>99.48</v>
      </c>
      <c r="AE27" s="52">
        <f t="shared" si="1"/>
        <v>1.1092623405435384</v>
      </c>
      <c r="AF27" s="52">
        <f t="shared" si="2"/>
        <v>46.677759290072096</v>
      </c>
      <c r="AG27" s="52">
        <f t="shared" si="3"/>
        <v>0.41042706600110923</v>
      </c>
      <c r="AH27" s="52">
        <f t="shared" si="4"/>
        <v>9.6173044925124778</v>
      </c>
      <c r="AI27" s="52">
        <f t="shared" si="5"/>
        <v>24.625623960066552</v>
      </c>
      <c r="AJ27" s="52">
        <f t="shared" si="6"/>
        <v>0.16638935108153077</v>
      </c>
      <c r="AK27" s="52">
        <f t="shared" si="7"/>
        <v>14.353854686633387</v>
      </c>
      <c r="AL27" s="52">
        <f t="shared" si="8"/>
        <v>3.9711591791458676</v>
      </c>
      <c r="AM27" s="52">
        <f t="shared" si="9"/>
        <v>0.11092623405435385</v>
      </c>
      <c r="AN27" s="52">
        <f t="shared" si="10"/>
        <v>4.4370493621741537E-2</v>
      </c>
      <c r="AO27" s="52">
        <f t="shared" si="11"/>
        <v>2.2185246810870769E-2</v>
      </c>
      <c r="AP27" s="52"/>
      <c r="AQ27" s="52"/>
      <c r="AR27" s="50" t="s">
        <v>205</v>
      </c>
      <c r="AS27" s="50" t="s">
        <v>205</v>
      </c>
      <c r="AT27" s="51" t="s">
        <v>206</v>
      </c>
      <c r="AU27" s="51">
        <v>0.2</v>
      </c>
      <c r="AV27" s="51">
        <v>1.6</v>
      </c>
      <c r="AW27" s="51">
        <v>169.5</v>
      </c>
      <c r="AX27" s="50"/>
      <c r="AY27" s="51">
        <v>23</v>
      </c>
      <c r="AZ27" s="52">
        <v>1.81</v>
      </c>
      <c r="BA27" s="3">
        <v>1.21</v>
      </c>
      <c r="BB27" s="52">
        <v>0.35</v>
      </c>
      <c r="BC27" s="51">
        <v>6.7</v>
      </c>
      <c r="BD27" s="52">
        <v>1.34</v>
      </c>
      <c r="BE27" s="51">
        <v>0.6</v>
      </c>
      <c r="BF27" s="52">
        <v>0.22</v>
      </c>
      <c r="BH27" s="51">
        <v>1.3</v>
      </c>
      <c r="BJ27" s="52">
        <v>0.17</v>
      </c>
      <c r="BK27" s="51" t="s">
        <v>206</v>
      </c>
      <c r="BL27" s="60">
        <v>0.4</v>
      </c>
      <c r="BM27" s="51">
        <v>1.4</v>
      </c>
      <c r="BN27" s="50">
        <v>2877</v>
      </c>
      <c r="BO27" s="51">
        <v>1.7</v>
      </c>
      <c r="BP27" s="52">
        <v>0.25</v>
      </c>
      <c r="BQ27" s="51">
        <v>12.1</v>
      </c>
      <c r="BR27" s="51" t="s">
        <v>206</v>
      </c>
      <c r="BS27" s="50">
        <v>28</v>
      </c>
      <c r="BT27" s="52">
        <v>0.73</v>
      </c>
      <c r="BU27" s="50" t="s">
        <v>205</v>
      </c>
      <c r="BV27" s="51">
        <v>16.5</v>
      </c>
      <c r="BW27" s="51" t="s">
        <v>206</v>
      </c>
      <c r="BX27" s="52">
        <v>0.31</v>
      </c>
      <c r="BY27" s="51" t="s">
        <v>211</v>
      </c>
      <c r="BZ27" s="53"/>
      <c r="CA27" s="53"/>
      <c r="CB27" s="52">
        <v>0.19</v>
      </c>
      <c r="CC27" s="51" t="s">
        <v>206</v>
      </c>
      <c r="CD27" s="50">
        <v>158</v>
      </c>
      <c r="CE27" s="51" t="s">
        <v>207</v>
      </c>
      <c r="CF27" s="51">
        <v>12.3</v>
      </c>
      <c r="CG27" s="52">
        <v>1.43</v>
      </c>
      <c r="CH27" s="50">
        <v>49</v>
      </c>
      <c r="CI27" s="51">
        <v>17.8</v>
      </c>
      <c r="CJ27" s="53"/>
      <c r="CK27" s="53"/>
      <c r="CL27" s="53">
        <v>0.49099999999999999</v>
      </c>
      <c r="CQ27" s="51">
        <v>0.3</v>
      </c>
      <c r="CR27" s="51">
        <v>24.1</v>
      </c>
      <c r="CS27" s="51">
        <v>1.5</v>
      </c>
      <c r="CT27" s="51">
        <v>0.1</v>
      </c>
      <c r="CU27" s="50">
        <v>15</v>
      </c>
      <c r="CV27" s="50">
        <v>64</v>
      </c>
      <c r="CX27" s="50">
        <v>2145</v>
      </c>
      <c r="CY27" s="50">
        <v>4</v>
      </c>
      <c r="CZ27" s="53">
        <v>3.5999999999999997E-2</v>
      </c>
      <c r="DA27" s="54">
        <v>40</v>
      </c>
      <c r="DB27" s="51" t="s">
        <v>206</v>
      </c>
      <c r="DC27" s="52" t="s">
        <v>159</v>
      </c>
      <c r="DD27" s="51">
        <v>2.8</v>
      </c>
      <c r="DE27" s="51">
        <v>1</v>
      </c>
      <c r="DF27" s="50"/>
      <c r="DG27" s="48" t="s">
        <v>213</v>
      </c>
      <c r="DH27" s="52"/>
      <c r="DI27" s="48" t="s">
        <v>213</v>
      </c>
      <c r="DJ27" s="48" t="s">
        <v>213</v>
      </c>
      <c r="DK27" s="48" t="s">
        <v>213</v>
      </c>
      <c r="DL27" s="1">
        <v>3120</v>
      </c>
    </row>
    <row r="28" spans="1:116" ht="15">
      <c r="A28" t="s">
        <v>238</v>
      </c>
      <c r="B28" t="s">
        <v>239</v>
      </c>
      <c r="C28" s="55">
        <v>634.6</v>
      </c>
      <c r="D28" s="55"/>
      <c r="E28" s="50">
        <v>4</v>
      </c>
      <c r="F28" s="50"/>
      <c r="G28" s="51">
        <v>9.6999999999999993</v>
      </c>
      <c r="H28" s="51">
        <v>14.7</v>
      </c>
      <c r="K28" s="50">
        <v>84.9</v>
      </c>
      <c r="L28" s="3">
        <v>0.10999999999999999</v>
      </c>
      <c r="M28" s="52">
        <v>0.09</v>
      </c>
      <c r="O28" s="51" t="s">
        <v>207</v>
      </c>
      <c r="Q28" s="51" t="s">
        <v>211</v>
      </c>
      <c r="R28" s="52">
        <v>6.39</v>
      </c>
      <c r="S28" s="52">
        <v>12.42</v>
      </c>
      <c r="T28" s="52">
        <v>12.35</v>
      </c>
      <c r="U28" s="52">
        <v>0.2</v>
      </c>
      <c r="V28" s="52">
        <v>15.01</v>
      </c>
      <c r="W28" s="52">
        <v>0.3</v>
      </c>
      <c r="X28" s="52">
        <v>0.63</v>
      </c>
      <c r="Y28" s="52" t="s">
        <v>159</v>
      </c>
      <c r="Z28" s="52">
        <v>50.33</v>
      </c>
      <c r="AA28" s="52">
        <v>0.12</v>
      </c>
      <c r="AB28" s="51">
        <v>1.6</v>
      </c>
      <c r="AC28" s="51">
        <f t="shared" si="0"/>
        <v>97.75</v>
      </c>
      <c r="AD28" s="52">
        <v>99.7</v>
      </c>
      <c r="AE28" s="52">
        <f t="shared" si="1"/>
        <v>1.0230179028132993</v>
      </c>
      <c r="AF28" s="52">
        <f t="shared" si="2"/>
        <v>51.488491048593353</v>
      </c>
      <c r="AG28" s="52">
        <f t="shared" si="3"/>
        <v>0.12276214833759591</v>
      </c>
      <c r="AH28" s="52">
        <f t="shared" si="4"/>
        <v>6.5370843989769822</v>
      </c>
      <c r="AI28" s="52">
        <f t="shared" si="5"/>
        <v>15.355498721227622</v>
      </c>
      <c r="AJ28" s="52">
        <f t="shared" si="6"/>
        <v>0.30690537084398978</v>
      </c>
      <c r="AK28" s="52">
        <f t="shared" si="7"/>
        <v>12.634271099744247</v>
      </c>
      <c r="AL28" s="52">
        <f t="shared" si="8"/>
        <v>12.705882352941178</v>
      </c>
      <c r="AM28" s="52">
        <f t="shared" si="9"/>
        <v>0.64450127877237862</v>
      </c>
      <c r="AN28" s="52">
        <f t="shared" si="10"/>
        <v>0.20460358056265987</v>
      </c>
      <c r="AO28" s="52" t="e">
        <f t="shared" si="11"/>
        <v>#VALUE!</v>
      </c>
      <c r="AP28" s="52"/>
      <c r="AQ28" s="52"/>
      <c r="AR28" s="50">
        <v>69</v>
      </c>
      <c r="AS28" s="50" t="s">
        <v>205</v>
      </c>
      <c r="AT28" s="51">
        <v>0.2</v>
      </c>
      <c r="AU28" s="51" t="s">
        <v>206</v>
      </c>
      <c r="AV28" s="51">
        <v>0.5</v>
      </c>
      <c r="AW28" s="51">
        <v>82.4</v>
      </c>
      <c r="AX28" s="50"/>
      <c r="AY28" s="51">
        <v>2.2000000000000002</v>
      </c>
      <c r="AZ28" s="52">
        <v>0.86</v>
      </c>
      <c r="BA28" s="3">
        <v>0.77</v>
      </c>
      <c r="BB28" s="52">
        <v>0.25</v>
      </c>
      <c r="BC28" s="51">
        <v>4.0999999999999996</v>
      </c>
      <c r="BD28" s="52">
        <v>0.28999999999999998</v>
      </c>
      <c r="BE28" s="51" t="s">
        <v>206</v>
      </c>
      <c r="BF28" s="52">
        <v>0.38</v>
      </c>
      <c r="BH28" s="51">
        <v>0.9</v>
      </c>
      <c r="BJ28" s="52">
        <v>0.14000000000000001</v>
      </c>
      <c r="BK28" s="51" t="s">
        <v>206</v>
      </c>
      <c r="BL28" s="60" t="s">
        <v>206</v>
      </c>
      <c r="BM28" s="51">
        <v>1.1000000000000001</v>
      </c>
      <c r="BN28" s="50">
        <v>463</v>
      </c>
      <c r="BO28" s="51">
        <v>2.2999999999999998</v>
      </c>
      <c r="BP28" s="52">
        <v>0.11</v>
      </c>
      <c r="BQ28" s="51">
        <v>8.6</v>
      </c>
      <c r="BR28" s="51">
        <v>0.7</v>
      </c>
      <c r="BS28" s="50">
        <v>41</v>
      </c>
      <c r="BT28" s="52" t="s">
        <v>226</v>
      </c>
      <c r="BU28" s="50" t="s">
        <v>205</v>
      </c>
      <c r="BV28" s="51">
        <v>15.2</v>
      </c>
      <c r="BW28" s="51" t="s">
        <v>206</v>
      </c>
      <c r="BX28" s="52">
        <v>0.09</v>
      </c>
      <c r="BY28" s="51" t="s">
        <v>211</v>
      </c>
      <c r="BZ28" s="53"/>
      <c r="CA28" s="53"/>
      <c r="CB28" s="52">
        <v>0.13</v>
      </c>
      <c r="CC28" s="51" t="s">
        <v>206</v>
      </c>
      <c r="CD28" s="50">
        <v>150</v>
      </c>
      <c r="CE28" s="51">
        <v>0.7</v>
      </c>
      <c r="CF28" s="51">
        <v>7</v>
      </c>
      <c r="CG28" s="52">
        <v>0.95</v>
      </c>
      <c r="CH28" s="50">
        <v>17</v>
      </c>
      <c r="CI28" s="51">
        <v>2.6</v>
      </c>
      <c r="CJ28" s="53"/>
      <c r="CK28" s="53"/>
      <c r="CL28" s="53">
        <v>0.309</v>
      </c>
      <c r="CQ28" s="51" t="s">
        <v>206</v>
      </c>
      <c r="CR28" s="51">
        <v>17.399999999999999</v>
      </c>
      <c r="CS28" s="51" t="s">
        <v>207</v>
      </c>
      <c r="CT28" s="51" t="s">
        <v>206</v>
      </c>
      <c r="CU28" s="50">
        <v>4</v>
      </c>
      <c r="CV28" s="50">
        <v>17</v>
      </c>
      <c r="CX28" s="50">
        <v>258</v>
      </c>
      <c r="CY28" s="50">
        <v>29</v>
      </c>
      <c r="CZ28" s="53">
        <v>0.01</v>
      </c>
      <c r="DA28" s="54" t="s">
        <v>208</v>
      </c>
      <c r="DB28" s="51">
        <v>0.2</v>
      </c>
      <c r="DC28" s="52" t="s">
        <v>159</v>
      </c>
      <c r="DD28" s="51">
        <v>4.2</v>
      </c>
      <c r="DE28" s="51">
        <v>0.2</v>
      </c>
      <c r="DF28" s="50" t="e">
        <v>#VALUE!</v>
      </c>
      <c r="DG28" s="48" t="s">
        <v>213</v>
      </c>
      <c r="DH28" s="52"/>
      <c r="DI28" s="48" t="s">
        <v>213</v>
      </c>
      <c r="DJ28" s="48" t="s">
        <v>213</v>
      </c>
      <c r="DK28" s="48" t="s">
        <v>213</v>
      </c>
      <c r="DL28" s="1"/>
    </row>
    <row r="29" spans="1:116" ht="15">
      <c r="A29" t="s">
        <v>240</v>
      </c>
      <c r="B29" t="s">
        <v>215</v>
      </c>
      <c r="C29" s="55">
        <v>64.8</v>
      </c>
      <c r="D29" s="55"/>
      <c r="E29" s="50">
        <v>333</v>
      </c>
      <c r="F29" s="50"/>
      <c r="G29" s="51">
        <v>131.1</v>
      </c>
      <c r="H29" s="51">
        <v>35.200000000000003</v>
      </c>
      <c r="K29" s="50">
        <v>9531.6</v>
      </c>
      <c r="L29" s="3">
        <v>3.74</v>
      </c>
      <c r="M29" s="52">
        <v>1.2</v>
      </c>
      <c r="O29" s="51">
        <v>2.2999999999999998</v>
      </c>
      <c r="Q29" s="51">
        <v>0.3</v>
      </c>
      <c r="R29" s="52">
        <v>14.12</v>
      </c>
      <c r="S29" s="52">
        <v>2.71</v>
      </c>
      <c r="T29" s="52">
        <v>30.5</v>
      </c>
      <c r="U29" s="52" t="s">
        <v>159</v>
      </c>
      <c r="V29" s="52">
        <v>10.55</v>
      </c>
      <c r="W29" s="52">
        <v>0.21</v>
      </c>
      <c r="X29" s="52">
        <v>0.02</v>
      </c>
      <c r="Y29" s="52">
        <v>0.03</v>
      </c>
      <c r="Z29" s="52">
        <v>29.63</v>
      </c>
      <c r="AA29" s="52">
        <v>0.79</v>
      </c>
      <c r="AB29" s="51">
        <v>9.4</v>
      </c>
      <c r="AC29" s="51">
        <f t="shared" si="0"/>
        <v>88.56</v>
      </c>
      <c r="AD29" s="52">
        <v>98.66</v>
      </c>
      <c r="AE29" s="52">
        <f t="shared" si="1"/>
        <v>1.1291779584462511</v>
      </c>
      <c r="AF29" s="52">
        <f t="shared" si="2"/>
        <v>33.45754290876242</v>
      </c>
      <c r="AG29" s="52">
        <f t="shared" si="3"/>
        <v>0.89205058717253838</v>
      </c>
      <c r="AH29" s="52">
        <f t="shared" si="4"/>
        <v>15.943992773261066</v>
      </c>
      <c r="AI29" s="52">
        <f t="shared" si="5"/>
        <v>11.91282746160795</v>
      </c>
      <c r="AJ29" s="52">
        <f t="shared" si="6"/>
        <v>0.23712737127371272</v>
      </c>
      <c r="AK29" s="52">
        <f t="shared" si="7"/>
        <v>34.439927732610663</v>
      </c>
      <c r="AL29" s="52">
        <f t="shared" si="8"/>
        <v>3.0600722673893404</v>
      </c>
      <c r="AM29" s="52">
        <f t="shared" si="9"/>
        <v>2.2583559168925023E-2</v>
      </c>
      <c r="AN29" s="52" t="e">
        <f t="shared" si="10"/>
        <v>#VALUE!</v>
      </c>
      <c r="AO29" s="52">
        <f t="shared" si="11"/>
        <v>3.3875338753387531E-2</v>
      </c>
      <c r="AP29" s="52"/>
      <c r="AQ29" s="52"/>
      <c r="AR29" s="50">
        <v>14</v>
      </c>
      <c r="AS29" s="50">
        <v>1</v>
      </c>
      <c r="AT29" s="51" t="s">
        <v>206</v>
      </c>
      <c r="AU29" s="51">
        <v>1.2</v>
      </c>
      <c r="AV29" s="51">
        <v>12.4</v>
      </c>
      <c r="AW29" s="51">
        <v>42.7</v>
      </c>
      <c r="AX29" s="50"/>
      <c r="AY29" s="51">
        <v>13.7</v>
      </c>
      <c r="AZ29" s="52">
        <v>2.31</v>
      </c>
      <c r="BA29" s="3">
        <v>1.3</v>
      </c>
      <c r="BB29" s="52">
        <v>0.47</v>
      </c>
      <c r="BC29" s="51">
        <v>12.6</v>
      </c>
      <c r="BD29" s="52">
        <v>2.15</v>
      </c>
      <c r="BE29" s="51">
        <v>1.6</v>
      </c>
      <c r="BF29" s="52">
        <v>0.5</v>
      </c>
      <c r="BH29" s="51">
        <v>0.5</v>
      </c>
      <c r="BJ29" s="52">
        <v>0.19</v>
      </c>
      <c r="BK29" s="51">
        <v>2</v>
      </c>
      <c r="BL29" s="60">
        <v>2.6</v>
      </c>
      <c r="BM29" s="51">
        <v>7.5</v>
      </c>
      <c r="BN29" s="50">
        <v>4648</v>
      </c>
      <c r="BO29" s="51">
        <v>7.8</v>
      </c>
      <c r="BP29" s="52">
        <v>1.48</v>
      </c>
      <c r="BQ29" s="51">
        <v>1</v>
      </c>
      <c r="BR29" s="51" t="s">
        <v>206</v>
      </c>
      <c r="BS29" s="50">
        <v>37</v>
      </c>
      <c r="BT29" s="52">
        <v>2.02</v>
      </c>
      <c r="BU29" s="50">
        <v>1</v>
      </c>
      <c r="BV29" s="51">
        <v>14.8</v>
      </c>
      <c r="BW29" s="51">
        <v>0.2</v>
      </c>
      <c r="BX29" s="52">
        <v>0.4</v>
      </c>
      <c r="BY29" s="51">
        <v>0.7</v>
      </c>
      <c r="BZ29" s="53"/>
      <c r="CA29" s="53"/>
      <c r="CB29" s="52">
        <v>0.19</v>
      </c>
      <c r="CC29" s="51">
        <v>0.2</v>
      </c>
      <c r="CD29" s="50">
        <v>249</v>
      </c>
      <c r="CE29" s="51" t="s">
        <v>207</v>
      </c>
      <c r="CF29" s="51">
        <v>12.4</v>
      </c>
      <c r="CG29" s="52">
        <v>1.28</v>
      </c>
      <c r="CH29" s="50">
        <v>291</v>
      </c>
      <c r="CI29" s="51">
        <v>46.6</v>
      </c>
      <c r="CJ29" s="53"/>
      <c r="CK29" s="53"/>
      <c r="CL29" s="53">
        <v>8.7999999999999995E-2</v>
      </c>
      <c r="CQ29" s="51">
        <v>2</v>
      </c>
      <c r="CR29" s="51">
        <v>3.2</v>
      </c>
      <c r="CS29" s="51">
        <v>112.4</v>
      </c>
      <c r="CT29" s="51">
        <v>0.3</v>
      </c>
      <c r="CU29" s="50">
        <v>13</v>
      </c>
      <c r="CV29" s="50">
        <v>240</v>
      </c>
      <c r="CX29" s="50">
        <v>522</v>
      </c>
      <c r="CY29" s="50">
        <v>14</v>
      </c>
      <c r="CZ29" s="53">
        <v>1.4999999999999999E-2</v>
      </c>
      <c r="DA29" s="54" t="s">
        <v>208</v>
      </c>
      <c r="DB29" s="51" t="s">
        <v>206</v>
      </c>
      <c r="DC29" s="52">
        <v>0.01</v>
      </c>
      <c r="DD29" s="51">
        <v>29.8</v>
      </c>
      <c r="DE29" s="51">
        <v>0.1</v>
      </c>
      <c r="DF29" s="50"/>
      <c r="DG29" s="48" t="s">
        <v>213</v>
      </c>
      <c r="DH29" s="52"/>
      <c r="DI29" s="48" t="s">
        <v>213</v>
      </c>
      <c r="DJ29" s="48" t="s">
        <v>213</v>
      </c>
      <c r="DK29" s="48" t="s">
        <v>213</v>
      </c>
      <c r="DL29" s="1">
        <v>3913.04347826087</v>
      </c>
    </row>
    <row r="30" spans="1:116" ht="15">
      <c r="A30" t="s">
        <v>241</v>
      </c>
      <c r="B30" t="s">
        <v>215</v>
      </c>
      <c r="C30" s="55">
        <v>65.599999999999994</v>
      </c>
      <c r="D30" s="55"/>
      <c r="E30" s="50">
        <v>165</v>
      </c>
      <c r="F30" s="50"/>
      <c r="G30" s="51">
        <v>310.2</v>
      </c>
      <c r="H30" s="51">
        <v>257.60000000000002</v>
      </c>
      <c r="K30" s="50">
        <v>7860.7</v>
      </c>
      <c r="L30" s="3">
        <v>5.6833333333333336</v>
      </c>
      <c r="M30" s="52">
        <v>1.96</v>
      </c>
      <c r="O30" s="51">
        <v>8.5</v>
      </c>
      <c r="Q30" s="51">
        <v>2.1</v>
      </c>
      <c r="R30" s="52">
        <v>13.8</v>
      </c>
      <c r="S30" s="52">
        <v>6.8</v>
      </c>
      <c r="T30" s="52">
        <v>24.16</v>
      </c>
      <c r="U30" s="52" t="s">
        <v>159</v>
      </c>
      <c r="V30" s="52">
        <v>10.83</v>
      </c>
      <c r="W30" s="52">
        <v>0.26</v>
      </c>
      <c r="X30" s="52">
        <v>0.03</v>
      </c>
      <c r="Y30" s="52">
        <v>0.05</v>
      </c>
      <c r="Z30" s="52">
        <v>32.590000000000003</v>
      </c>
      <c r="AA30" s="52">
        <v>0.77</v>
      </c>
      <c r="AB30" s="51">
        <v>8.6999999999999993</v>
      </c>
      <c r="AC30" s="51">
        <f t="shared" si="0"/>
        <v>89.29</v>
      </c>
      <c r="AD30" s="52">
        <v>98.83</v>
      </c>
      <c r="AE30" s="52">
        <f t="shared" si="1"/>
        <v>1.1199462425803561</v>
      </c>
      <c r="AF30" s="52">
        <f t="shared" si="2"/>
        <v>36.499048045693812</v>
      </c>
      <c r="AG30" s="52">
        <f t="shared" si="3"/>
        <v>0.86235860678687426</v>
      </c>
      <c r="AH30" s="52">
        <f t="shared" si="4"/>
        <v>15.455258147608916</v>
      </c>
      <c r="AI30" s="52">
        <f t="shared" si="5"/>
        <v>12.129017807145257</v>
      </c>
      <c r="AJ30" s="52">
        <f t="shared" si="6"/>
        <v>0.29118602307089259</v>
      </c>
      <c r="AK30" s="52">
        <f t="shared" si="7"/>
        <v>27.057901220741403</v>
      </c>
      <c r="AL30" s="52">
        <f t="shared" si="8"/>
        <v>7.6156344495464214</v>
      </c>
      <c r="AM30" s="52">
        <f t="shared" si="9"/>
        <v>3.3598387277410685E-2</v>
      </c>
      <c r="AN30" s="52" t="e">
        <f t="shared" si="10"/>
        <v>#VALUE!</v>
      </c>
      <c r="AO30" s="52">
        <f t="shared" si="11"/>
        <v>5.5997312129017811E-2</v>
      </c>
      <c r="AP30" s="52"/>
      <c r="AQ30" s="52"/>
      <c r="AR30" s="50">
        <v>9</v>
      </c>
      <c r="AS30" s="50" t="s">
        <v>205</v>
      </c>
      <c r="AT30" s="51">
        <v>1.2</v>
      </c>
      <c r="AU30" s="51">
        <v>0.6</v>
      </c>
      <c r="AV30" s="51">
        <v>17.8</v>
      </c>
      <c r="AW30" s="51">
        <v>134</v>
      </c>
      <c r="AX30" s="50"/>
      <c r="AY30" s="51">
        <v>3.8</v>
      </c>
      <c r="AZ30" s="52">
        <v>2.57</v>
      </c>
      <c r="BA30" s="3">
        <v>1.7</v>
      </c>
      <c r="BB30" s="52">
        <v>0.62</v>
      </c>
      <c r="BC30" s="51">
        <v>12</v>
      </c>
      <c r="BD30" s="52">
        <v>3.17</v>
      </c>
      <c r="BE30" s="51">
        <v>1.2</v>
      </c>
      <c r="BF30" s="52">
        <v>0.18</v>
      </c>
      <c r="BH30" s="51">
        <v>5.8</v>
      </c>
      <c r="BJ30" s="65">
        <v>0.28000000000000003</v>
      </c>
      <c r="BK30" s="51">
        <v>1</v>
      </c>
      <c r="BL30" s="71">
        <v>2.2000000000000002</v>
      </c>
      <c r="BM30" s="72">
        <v>10.1</v>
      </c>
      <c r="BN30" s="57">
        <v>6257</v>
      </c>
      <c r="BO30" s="51">
        <v>14.5</v>
      </c>
      <c r="BP30" s="52">
        <v>2</v>
      </c>
      <c r="BQ30" s="51">
        <v>0.7</v>
      </c>
      <c r="BR30" s="51">
        <v>0.2</v>
      </c>
      <c r="BS30" s="50">
        <v>35</v>
      </c>
      <c r="BT30" s="52">
        <v>1.94</v>
      </c>
      <c r="BU30" s="50" t="s">
        <v>205</v>
      </c>
      <c r="BV30" s="51">
        <v>77.400000000000006</v>
      </c>
      <c r="BW30" s="51">
        <v>0.2</v>
      </c>
      <c r="BX30" s="52">
        <v>0.53</v>
      </c>
      <c r="BY30" s="51">
        <v>0.9</v>
      </c>
      <c r="BZ30" s="53"/>
      <c r="CA30" s="53"/>
      <c r="CB30" s="52">
        <v>0.26</v>
      </c>
      <c r="CC30" s="51">
        <v>0.2</v>
      </c>
      <c r="CD30" s="50">
        <v>241</v>
      </c>
      <c r="CE30" s="51" t="s">
        <v>207</v>
      </c>
      <c r="CF30" s="51">
        <v>15.8</v>
      </c>
      <c r="CG30" s="52">
        <v>1.42</v>
      </c>
      <c r="CH30" s="50">
        <v>272</v>
      </c>
      <c r="CI30" s="51">
        <v>44.1</v>
      </c>
      <c r="CJ30" s="53"/>
      <c r="CK30" s="53"/>
      <c r="CL30" s="53">
        <v>8.7999999999999995E-2</v>
      </c>
      <c r="CQ30" s="51">
        <v>1.9</v>
      </c>
      <c r="CR30" s="51">
        <v>14.9</v>
      </c>
      <c r="CS30" s="51">
        <v>106.3</v>
      </c>
      <c r="CT30" s="51">
        <v>0.2</v>
      </c>
      <c r="CU30" s="50">
        <v>67</v>
      </c>
      <c r="CV30" s="50">
        <v>218</v>
      </c>
      <c r="CX30" s="50">
        <v>514</v>
      </c>
      <c r="CY30" s="50">
        <v>7</v>
      </c>
      <c r="CZ30" s="53">
        <v>1.6E-2</v>
      </c>
      <c r="DA30" s="54" t="s">
        <v>208</v>
      </c>
      <c r="DB30" s="51" t="s">
        <v>206</v>
      </c>
      <c r="DC30" s="52" t="s">
        <v>159</v>
      </c>
      <c r="DD30" s="51">
        <v>28.3</v>
      </c>
      <c r="DE30" s="51" t="s">
        <v>206</v>
      </c>
      <c r="DF30" s="50"/>
      <c r="DG30" s="48" t="s">
        <v>213</v>
      </c>
      <c r="DH30" s="52"/>
      <c r="DI30" s="48" t="s">
        <v>213</v>
      </c>
      <c r="DJ30" s="48" t="s">
        <v>213</v>
      </c>
      <c r="DK30" s="48" t="s">
        <v>213</v>
      </c>
      <c r="DL30" s="1">
        <v>1611.7647058823532</v>
      </c>
    </row>
    <row r="31" spans="1:116" s="61" customFormat="1" ht="15">
      <c r="A31" s="61" t="s">
        <v>242</v>
      </c>
      <c r="B31" s="61" t="s">
        <v>243</v>
      </c>
      <c r="C31" s="62">
        <v>634.6</v>
      </c>
      <c r="D31" s="62"/>
      <c r="E31" s="63">
        <v>5</v>
      </c>
      <c r="F31" s="63"/>
      <c r="G31" s="64">
        <v>6.9</v>
      </c>
      <c r="H31" s="64">
        <v>24.3</v>
      </c>
      <c r="K31" s="63">
        <v>182.3</v>
      </c>
      <c r="L31" s="3">
        <v>0.10999999999999999</v>
      </c>
      <c r="M31" s="65">
        <v>0.62</v>
      </c>
      <c r="O31" s="64" t="s">
        <v>207</v>
      </c>
      <c r="Q31" s="64" t="s">
        <v>211</v>
      </c>
      <c r="R31" s="65">
        <v>4.0199999999999996</v>
      </c>
      <c r="S31" s="65">
        <v>9.92</v>
      </c>
      <c r="T31" s="65">
        <v>21.64</v>
      </c>
      <c r="U31" s="65">
        <v>7.0000000000000007E-2</v>
      </c>
      <c r="V31" s="65">
        <v>17.55</v>
      </c>
      <c r="W31" s="65">
        <v>0.19</v>
      </c>
      <c r="X31" s="65">
        <v>0.51</v>
      </c>
      <c r="Y31" s="65" t="s">
        <v>159</v>
      </c>
      <c r="Z31" s="65">
        <v>42.95</v>
      </c>
      <c r="AA31" s="65">
        <v>0.06</v>
      </c>
      <c r="AB31" s="64">
        <v>2.4</v>
      </c>
      <c r="AC31" s="64">
        <f t="shared" si="0"/>
        <v>96.91</v>
      </c>
      <c r="AD31" s="65">
        <v>99.66</v>
      </c>
      <c r="AE31" s="65">
        <f t="shared" si="1"/>
        <v>1.0318852543597152</v>
      </c>
      <c r="AF31" s="65">
        <f t="shared" si="2"/>
        <v>44.319471674749771</v>
      </c>
      <c r="AG31" s="65">
        <f t="shared" si="3"/>
        <v>6.1913115261582913E-2</v>
      </c>
      <c r="AH31" s="65">
        <f t="shared" si="4"/>
        <v>4.1481787225260547</v>
      </c>
      <c r="AI31" s="65">
        <f t="shared" si="5"/>
        <v>18.109586214013003</v>
      </c>
      <c r="AJ31" s="65">
        <f t="shared" si="6"/>
        <v>0.1960581983283459</v>
      </c>
      <c r="AK31" s="65">
        <f t="shared" si="7"/>
        <v>22.329996904344238</v>
      </c>
      <c r="AL31" s="65">
        <f t="shared" si="8"/>
        <v>10.236301723248374</v>
      </c>
      <c r="AM31" s="65">
        <f t="shared" si="9"/>
        <v>0.52626147972345483</v>
      </c>
      <c r="AN31" s="65">
        <f t="shared" si="10"/>
        <v>7.223196780518007E-2</v>
      </c>
      <c r="AO31" s="65" t="e">
        <f t="shared" si="11"/>
        <v>#VALUE!</v>
      </c>
      <c r="AP31" s="65"/>
      <c r="AQ31" s="65"/>
      <c r="AR31" s="63">
        <v>13</v>
      </c>
      <c r="AS31" s="63" t="s">
        <v>205</v>
      </c>
      <c r="AT31" s="64">
        <v>0.6</v>
      </c>
      <c r="AU31" s="64" t="s">
        <v>206</v>
      </c>
      <c r="AV31" s="64">
        <v>0.4</v>
      </c>
      <c r="AW31" s="64">
        <v>84.8</v>
      </c>
      <c r="AX31" s="63"/>
      <c r="AY31" s="64">
        <v>1.2</v>
      </c>
      <c r="AZ31" s="65">
        <v>0.84</v>
      </c>
      <c r="BA31" s="66">
        <v>0.55000000000000004</v>
      </c>
      <c r="BB31" s="65">
        <v>0.15</v>
      </c>
      <c r="BC31" s="64">
        <v>2.2999999999999998</v>
      </c>
      <c r="BD31" s="65">
        <v>0.41</v>
      </c>
      <c r="BE31" s="64" t="s">
        <v>206</v>
      </c>
      <c r="BH31" s="64">
        <v>9.6999999999999993</v>
      </c>
      <c r="BJ31" s="52">
        <v>0.1</v>
      </c>
      <c r="BK31" s="64" t="s">
        <v>206</v>
      </c>
      <c r="BL31" s="60" t="s">
        <v>206</v>
      </c>
      <c r="BM31" s="51">
        <v>0.8</v>
      </c>
      <c r="BN31" s="50">
        <v>609</v>
      </c>
      <c r="BO31" s="64">
        <v>5.7</v>
      </c>
      <c r="BP31" s="65">
        <v>7.0000000000000007E-2</v>
      </c>
      <c r="BQ31" s="64">
        <v>1</v>
      </c>
      <c r="BR31" s="64">
        <v>1.8</v>
      </c>
      <c r="BS31" s="63">
        <v>24</v>
      </c>
      <c r="BT31" s="65" t="s">
        <v>226</v>
      </c>
      <c r="BU31" s="63">
        <v>3</v>
      </c>
      <c r="BV31" s="64">
        <v>8.6999999999999993</v>
      </c>
      <c r="BW31" s="64" t="s">
        <v>206</v>
      </c>
      <c r="BX31" s="65">
        <v>0.11</v>
      </c>
      <c r="BY31" s="64" t="s">
        <v>211</v>
      </c>
      <c r="BZ31" s="67"/>
      <c r="CA31" s="67"/>
      <c r="CB31" s="65">
        <v>0.09</v>
      </c>
      <c r="CC31" s="64" t="s">
        <v>206</v>
      </c>
      <c r="CD31" s="63">
        <v>89</v>
      </c>
      <c r="CE31" s="64">
        <v>1</v>
      </c>
      <c r="CF31" s="64">
        <v>5.2</v>
      </c>
      <c r="CG31" s="65">
        <v>0.64</v>
      </c>
      <c r="CH31" s="63">
        <v>21</v>
      </c>
      <c r="CI31" s="64">
        <v>2.1</v>
      </c>
      <c r="CJ31" s="67"/>
      <c r="CK31" s="67"/>
      <c r="CL31" s="67">
        <v>0.309</v>
      </c>
      <c r="CQ31" s="64">
        <v>0.1</v>
      </c>
      <c r="CR31" s="64">
        <v>14.1</v>
      </c>
      <c r="CS31" s="64" t="s">
        <v>207</v>
      </c>
      <c r="CT31" s="64" t="s">
        <v>206</v>
      </c>
      <c r="CU31" s="63">
        <v>2</v>
      </c>
      <c r="CV31" s="63">
        <v>49</v>
      </c>
      <c r="CX31" s="63">
        <v>910</v>
      </c>
      <c r="CY31" s="63">
        <v>5</v>
      </c>
      <c r="CZ31" s="67">
        <v>1.4999999999999999E-2</v>
      </c>
      <c r="DA31" s="68" t="s">
        <v>208</v>
      </c>
      <c r="DB31" s="64">
        <v>0.7</v>
      </c>
      <c r="DC31" s="65" t="s">
        <v>159</v>
      </c>
      <c r="DD31" s="64">
        <v>2.2999999999999998</v>
      </c>
      <c r="DE31" s="64" t="s">
        <v>206</v>
      </c>
      <c r="DF31" s="63" t="e">
        <v>#VALUE!</v>
      </c>
      <c r="DG31" s="69" t="s">
        <v>213</v>
      </c>
      <c r="DH31" s="65"/>
      <c r="DI31" s="69" t="s">
        <v>213</v>
      </c>
      <c r="DJ31" s="69" t="s">
        <v>213</v>
      </c>
      <c r="DK31" s="69" t="s">
        <v>213</v>
      </c>
      <c r="DL31" s="70"/>
    </row>
    <row r="32" spans="1:116">
      <c r="BA32" s="52"/>
      <c r="BH32" s="51">
        <v>0.7</v>
      </c>
    </row>
    <row r="36" spans="8:8">
      <c r="H36" s="5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58"/>
  <sheetViews>
    <sheetView topLeftCell="F1" workbookViewId="0">
      <pane ySplit="1300" activePane="bottomLeft"/>
      <selection activeCell="AO2" sqref="AO2"/>
      <selection pane="bottomLeft" activeCell="S21" sqref="S21"/>
    </sheetView>
  </sheetViews>
  <sheetFormatPr baseColWidth="10" defaultRowHeight="13" x14ac:dyDescent="0"/>
  <cols>
    <col min="2" max="2" width="6.85546875" customWidth="1"/>
    <col min="3" max="3" width="7.28515625" customWidth="1"/>
    <col min="4" max="4" width="8.7109375" customWidth="1"/>
    <col min="5" max="5" width="9.85546875" customWidth="1"/>
    <col min="7" max="7" width="5.5703125" customWidth="1"/>
    <col min="8" max="8" width="5.85546875" customWidth="1"/>
    <col min="9" max="9" width="5.42578125" customWidth="1"/>
    <col min="10" max="10" width="5.7109375" customWidth="1"/>
    <col min="11" max="11" width="6.28515625" customWidth="1"/>
    <col min="12" max="12" width="7.140625" customWidth="1"/>
    <col min="13" max="13" width="9.140625" customWidth="1"/>
    <col min="14" max="14" width="8" customWidth="1"/>
    <col min="15" max="15" width="7" customWidth="1"/>
    <col min="16" max="16" width="7.7109375" customWidth="1"/>
    <col min="17" max="17" width="11.5703125" bestFit="1" customWidth="1"/>
    <col min="21" max="21" width="6.28515625" customWidth="1"/>
    <col min="22" max="22" width="7.140625" customWidth="1"/>
    <col min="23" max="23" width="7.28515625" customWidth="1"/>
    <col min="24" max="24" width="6.140625" customWidth="1"/>
    <col min="25" max="25" width="6.42578125" customWidth="1"/>
    <col min="26" max="27" width="6.140625" customWidth="1"/>
    <col min="28" max="28" width="6.5703125" customWidth="1"/>
    <col min="29" max="29" width="12" style="1" customWidth="1"/>
    <col min="30" max="30" width="7.28515625" style="3" customWidth="1"/>
    <col min="33" max="34" width="8.7109375" customWidth="1"/>
    <col min="35" max="35" width="9" customWidth="1"/>
    <col min="36" max="36" width="10" style="1" customWidth="1"/>
    <col min="37" max="37" width="7.7109375" customWidth="1"/>
    <col min="38" max="38" width="6.7109375" customWidth="1"/>
    <col min="39" max="39" width="6.85546875" customWidth="1"/>
    <col min="40" max="40" width="6.42578125" customWidth="1"/>
    <col min="41" max="41" width="7.28515625" customWidth="1"/>
    <col min="42" max="42" width="6.42578125" customWidth="1"/>
    <col min="43" max="43" width="5.28515625" customWidth="1"/>
    <col min="44" max="44" width="6.7109375" customWidth="1"/>
  </cols>
  <sheetData>
    <row r="2" spans="1:45" ht="18">
      <c r="A2" t="s">
        <v>120</v>
      </c>
      <c r="E2" t="s">
        <v>6</v>
      </c>
      <c r="F2" t="s">
        <v>45</v>
      </c>
      <c r="G2" t="s">
        <v>49</v>
      </c>
      <c r="H2" t="s">
        <v>48</v>
      </c>
      <c r="I2" t="s">
        <v>47</v>
      </c>
      <c r="J2" t="s">
        <v>46</v>
      </c>
      <c r="K2" t="s">
        <v>44</v>
      </c>
      <c r="L2" t="s">
        <v>177</v>
      </c>
      <c r="M2" t="s">
        <v>167</v>
      </c>
      <c r="N2" t="s">
        <v>163</v>
      </c>
      <c r="O2" s="1" t="s">
        <v>168</v>
      </c>
      <c r="P2" t="s">
        <v>164</v>
      </c>
      <c r="Q2" t="s">
        <v>95</v>
      </c>
      <c r="R2" t="s">
        <v>94</v>
      </c>
      <c r="S2" t="s">
        <v>101</v>
      </c>
      <c r="T2" t="s">
        <v>104</v>
      </c>
      <c r="U2" s="16" t="s">
        <v>6</v>
      </c>
      <c r="V2" t="s">
        <v>45</v>
      </c>
      <c r="W2" t="s">
        <v>49</v>
      </c>
      <c r="X2" t="s">
        <v>48</v>
      </c>
      <c r="Y2" t="s">
        <v>47</v>
      </c>
      <c r="Z2" t="s">
        <v>46</v>
      </c>
      <c r="AA2" t="s">
        <v>44</v>
      </c>
      <c r="AB2" s="17" t="s">
        <v>177</v>
      </c>
      <c r="AC2" s="30" t="s">
        <v>6</v>
      </c>
      <c r="AD2" s="24" t="s">
        <v>45</v>
      </c>
      <c r="AE2" s="7" t="s">
        <v>49</v>
      </c>
      <c r="AF2" s="7" t="s">
        <v>48</v>
      </c>
      <c r="AG2" s="7" t="s">
        <v>47</v>
      </c>
      <c r="AH2" s="7" t="s">
        <v>46</v>
      </c>
      <c r="AI2" s="7" t="s">
        <v>44</v>
      </c>
      <c r="AJ2" s="32" t="s">
        <v>177</v>
      </c>
      <c r="AK2" s="1" t="s">
        <v>6</v>
      </c>
      <c r="AL2" t="s">
        <v>45</v>
      </c>
      <c r="AM2" t="s">
        <v>49</v>
      </c>
      <c r="AN2" t="s">
        <v>48</v>
      </c>
      <c r="AO2" t="s">
        <v>47</v>
      </c>
      <c r="AP2" t="s">
        <v>46</v>
      </c>
      <c r="AQ2" t="s">
        <v>44</v>
      </c>
      <c r="AR2" s="1" t="s">
        <v>177</v>
      </c>
    </row>
    <row r="3" spans="1:45">
      <c r="A3" t="s">
        <v>133</v>
      </c>
      <c r="E3" t="s">
        <v>165</v>
      </c>
      <c r="F3" t="s">
        <v>50</v>
      </c>
      <c r="G3" t="s">
        <v>50</v>
      </c>
      <c r="H3" t="s">
        <v>50</v>
      </c>
      <c r="I3" t="s">
        <v>50</v>
      </c>
      <c r="J3" t="s">
        <v>50</v>
      </c>
      <c r="K3" t="s">
        <v>50</v>
      </c>
      <c r="N3" t="s">
        <v>165</v>
      </c>
      <c r="O3" s="1"/>
      <c r="P3" t="s">
        <v>165</v>
      </c>
      <c r="AD3" s="3" t="s">
        <v>50</v>
      </c>
      <c r="AK3" s="1"/>
      <c r="AR3" s="1"/>
    </row>
    <row r="4" spans="1:45">
      <c r="A4" t="s">
        <v>135</v>
      </c>
      <c r="F4">
        <v>0.01</v>
      </c>
      <c r="G4">
        <v>0.08</v>
      </c>
      <c r="H4">
        <v>0.02</v>
      </c>
      <c r="I4">
        <v>0.17</v>
      </c>
      <c r="J4">
        <v>0.12</v>
      </c>
      <c r="K4">
        <v>0.22</v>
      </c>
      <c r="M4">
        <v>100</v>
      </c>
      <c r="N4">
        <v>0.4</v>
      </c>
      <c r="O4" s="1">
        <f>M4/N4</f>
        <v>250</v>
      </c>
      <c r="P4">
        <v>0.01</v>
      </c>
      <c r="AC4" s="1" t="s">
        <v>105</v>
      </c>
      <c r="AK4" s="1">
        <v>10770</v>
      </c>
      <c r="AL4">
        <v>480</v>
      </c>
      <c r="AM4">
        <v>683</v>
      </c>
      <c r="AN4">
        <v>140</v>
      </c>
      <c r="AO4">
        <v>982</v>
      </c>
      <c r="AP4">
        <v>556</v>
      </c>
      <c r="AQ4">
        <v>148</v>
      </c>
      <c r="AR4" s="1">
        <v>131</v>
      </c>
    </row>
    <row r="5" spans="1:45">
      <c r="O5" s="1"/>
    </row>
    <row r="6" spans="1:45" ht="18">
      <c r="A6" t="s">
        <v>99</v>
      </c>
      <c r="E6">
        <v>2000</v>
      </c>
      <c r="F6">
        <v>4.4000000000000004</v>
      </c>
      <c r="G6">
        <v>6</v>
      </c>
      <c r="H6">
        <v>1.4</v>
      </c>
      <c r="I6">
        <v>9.1999999999999993</v>
      </c>
      <c r="J6">
        <v>4.4000000000000004</v>
      </c>
      <c r="K6">
        <v>1.4</v>
      </c>
      <c r="L6">
        <v>28</v>
      </c>
      <c r="O6" s="1"/>
      <c r="U6" s="17">
        <v>1860</v>
      </c>
      <c r="V6">
        <v>3.2</v>
      </c>
      <c r="W6">
        <v>4.55</v>
      </c>
      <c r="X6">
        <v>0.93</v>
      </c>
      <c r="Y6">
        <v>6.6</v>
      </c>
      <c r="Z6">
        <v>3.27</v>
      </c>
      <c r="AA6">
        <v>0.88</v>
      </c>
      <c r="AB6" s="17">
        <v>20</v>
      </c>
      <c r="AC6" s="1">
        <f>U6*380000/200/10000</f>
        <v>353.4</v>
      </c>
      <c r="AK6" t="s">
        <v>106</v>
      </c>
    </row>
    <row r="7" spans="1:45">
      <c r="O7" s="1"/>
    </row>
    <row r="8" spans="1:45" s="18" customFormat="1">
      <c r="A8" s="18" t="s">
        <v>136</v>
      </c>
      <c r="B8" s="19" t="s">
        <v>51</v>
      </c>
      <c r="C8" s="18">
        <v>163.5</v>
      </c>
      <c r="D8" s="18" t="s">
        <v>77</v>
      </c>
      <c r="E8" s="18">
        <v>238.5</v>
      </c>
      <c r="F8" s="20">
        <v>0.01</v>
      </c>
      <c r="G8" s="20">
        <v>0.04</v>
      </c>
      <c r="H8" s="20">
        <v>0.01</v>
      </c>
      <c r="I8" s="18">
        <v>0.26</v>
      </c>
      <c r="J8" s="18">
        <v>0.21</v>
      </c>
      <c r="K8" s="18">
        <v>2.42</v>
      </c>
      <c r="L8" s="18">
        <v>82.6</v>
      </c>
      <c r="M8" s="18">
        <v>800</v>
      </c>
      <c r="N8" s="18" t="s">
        <v>166</v>
      </c>
      <c r="O8" s="21"/>
      <c r="P8" s="18">
        <v>0.01</v>
      </c>
      <c r="Q8" s="21"/>
      <c r="R8" s="21"/>
      <c r="S8" s="3"/>
      <c r="T8" s="3"/>
      <c r="U8" s="5">
        <f>E8/1860</f>
        <v>0.12822580645161291</v>
      </c>
      <c r="V8" s="5">
        <f>F8/3.2</f>
        <v>3.1249999999999997E-3</v>
      </c>
      <c r="W8" s="5">
        <f>G8/4.55</f>
        <v>8.7912087912087912E-3</v>
      </c>
      <c r="X8" s="5">
        <f>H8/0.93</f>
        <v>1.075268817204301E-2</v>
      </c>
      <c r="Y8" s="5">
        <f>I8/6.6</f>
        <v>3.9393939393939398E-2</v>
      </c>
      <c r="Z8" s="5">
        <f>J8/3.27</f>
        <v>6.4220183486238536E-2</v>
      </c>
      <c r="AA8" s="5">
        <f>K8/0.88</f>
        <v>2.75</v>
      </c>
      <c r="AB8" s="5">
        <f>L8/20</f>
        <v>4.13</v>
      </c>
      <c r="AC8" s="31"/>
      <c r="AD8" s="23"/>
      <c r="AE8" s="23"/>
      <c r="AF8" s="23"/>
      <c r="AG8" s="23"/>
      <c r="AH8" s="23"/>
      <c r="AI8" s="23"/>
      <c r="AJ8" s="31"/>
    </row>
    <row r="9" spans="1:45">
      <c r="A9" t="s">
        <v>137</v>
      </c>
      <c r="B9" s="6" t="s">
        <v>51</v>
      </c>
      <c r="C9" s="5">
        <v>164.2</v>
      </c>
      <c r="D9" s="8" t="s">
        <v>77</v>
      </c>
      <c r="E9">
        <v>288.10000000000002</v>
      </c>
      <c r="F9">
        <v>0.02</v>
      </c>
      <c r="G9" s="2">
        <v>0.04</v>
      </c>
      <c r="H9">
        <v>0.02</v>
      </c>
      <c r="I9">
        <v>0.2</v>
      </c>
      <c r="J9">
        <v>0.26</v>
      </c>
      <c r="K9">
        <v>1.69</v>
      </c>
      <c r="L9">
        <v>63.5</v>
      </c>
      <c r="M9">
        <v>1200</v>
      </c>
      <c r="N9" t="s">
        <v>166</v>
      </c>
      <c r="O9" s="1"/>
      <c r="P9">
        <v>0.01</v>
      </c>
      <c r="Q9" s="1"/>
      <c r="R9" s="1"/>
      <c r="S9" s="3">
        <f t="shared" ref="S9:S34" si="0">E9/L9</f>
        <v>4.5370078740157487</v>
      </c>
      <c r="T9" s="3">
        <f t="shared" ref="T9:T35" si="1">J9/F9</f>
        <v>13</v>
      </c>
      <c r="U9" s="5">
        <f t="shared" ref="U9:U34" si="2">E9/1860</f>
        <v>0.15489247311827958</v>
      </c>
      <c r="V9" s="5">
        <f t="shared" ref="V9:V34" si="3">F9/3.2</f>
        <v>6.2499999999999995E-3</v>
      </c>
      <c r="W9" s="5">
        <f t="shared" ref="W9:W34" si="4">G9/4.55</f>
        <v>8.7912087912087912E-3</v>
      </c>
      <c r="X9" s="5">
        <f t="shared" ref="X9:X34" si="5">H9/0.93</f>
        <v>2.150537634408602E-2</v>
      </c>
      <c r="Y9" s="5">
        <f t="shared" ref="Y9:Y34" si="6">I9/6.6</f>
        <v>3.0303030303030307E-2</v>
      </c>
      <c r="Z9" s="5">
        <f t="shared" ref="Z9:Z34" si="7">J9/3.27</f>
        <v>7.9510703363914373E-2</v>
      </c>
      <c r="AA9" s="5">
        <f t="shared" ref="AA9:AA34" si="8">K9/0.88</f>
        <v>1.9204545454545454</v>
      </c>
      <c r="AB9" s="5">
        <f t="shared" ref="AB9:AB34" si="9">L9/20</f>
        <v>3.1749999999999998</v>
      </c>
      <c r="AC9" s="31"/>
      <c r="AD9" s="23"/>
      <c r="AE9" s="23"/>
      <c r="AF9" s="23"/>
      <c r="AG9" s="23"/>
      <c r="AH9" s="23"/>
      <c r="AI9" s="23"/>
      <c r="AJ9" s="31"/>
    </row>
    <row r="10" spans="1:45">
      <c r="A10" t="s">
        <v>138</v>
      </c>
      <c r="B10" s="6" t="s">
        <v>51</v>
      </c>
      <c r="C10" s="5">
        <v>167.45</v>
      </c>
      <c r="D10" s="8" t="s">
        <v>77</v>
      </c>
      <c r="E10">
        <v>142.19999999999999</v>
      </c>
      <c r="F10" s="2">
        <v>0.01</v>
      </c>
      <c r="G10" s="2">
        <v>0.04</v>
      </c>
      <c r="H10" s="2">
        <v>0.01</v>
      </c>
      <c r="I10" s="2">
        <v>0.1</v>
      </c>
      <c r="J10">
        <v>0.13</v>
      </c>
      <c r="K10">
        <v>1.23</v>
      </c>
      <c r="L10">
        <v>122.8</v>
      </c>
      <c r="M10">
        <v>2200</v>
      </c>
      <c r="N10">
        <v>0.4</v>
      </c>
      <c r="O10" s="1">
        <f>M10/N10</f>
        <v>5500</v>
      </c>
      <c r="P10">
        <v>0.01</v>
      </c>
      <c r="Q10" s="1"/>
      <c r="R10" s="1"/>
      <c r="S10" s="3"/>
      <c r="T10" s="3"/>
      <c r="U10" s="5">
        <f t="shared" si="2"/>
        <v>7.6451612903225802E-2</v>
      </c>
      <c r="V10" s="5">
        <f t="shared" si="3"/>
        <v>3.1249999999999997E-3</v>
      </c>
      <c r="W10" s="5">
        <f t="shared" si="4"/>
        <v>8.7912087912087912E-3</v>
      </c>
      <c r="X10" s="5">
        <f t="shared" si="5"/>
        <v>1.075268817204301E-2</v>
      </c>
      <c r="Y10" s="5">
        <f t="shared" si="6"/>
        <v>1.5151515151515154E-2</v>
      </c>
      <c r="Z10" s="5">
        <f t="shared" si="7"/>
        <v>3.9755351681957186E-2</v>
      </c>
      <c r="AA10" s="5">
        <f t="shared" si="8"/>
        <v>1.3977272727272727</v>
      </c>
      <c r="AB10" s="5">
        <f t="shared" si="9"/>
        <v>6.14</v>
      </c>
      <c r="AC10" s="31"/>
      <c r="AD10" s="23"/>
      <c r="AE10" s="23"/>
      <c r="AF10" s="23"/>
      <c r="AG10" s="23"/>
      <c r="AH10" s="23"/>
      <c r="AI10" s="23"/>
      <c r="AJ10" s="31"/>
    </row>
    <row r="11" spans="1:45">
      <c r="A11" t="s">
        <v>139</v>
      </c>
      <c r="B11" s="6" t="s">
        <v>51</v>
      </c>
      <c r="C11" s="5">
        <v>170.9</v>
      </c>
      <c r="D11" s="8" t="s">
        <v>77</v>
      </c>
      <c r="E11">
        <v>584.70000000000005</v>
      </c>
      <c r="F11">
        <v>0.22</v>
      </c>
      <c r="G11">
        <v>0.4</v>
      </c>
      <c r="H11">
        <v>0.13</v>
      </c>
      <c r="I11">
        <v>2.59</v>
      </c>
      <c r="J11">
        <v>4.08</v>
      </c>
      <c r="K11">
        <v>4.2</v>
      </c>
      <c r="L11">
        <v>190.5</v>
      </c>
      <c r="M11">
        <v>2000</v>
      </c>
      <c r="N11">
        <v>0.6</v>
      </c>
      <c r="O11" s="1">
        <f>M11/N11</f>
        <v>3333.3333333333335</v>
      </c>
      <c r="P11">
        <v>0.05</v>
      </c>
      <c r="Q11" s="1"/>
      <c r="R11" s="1"/>
      <c r="S11" s="3">
        <f t="shared" si="0"/>
        <v>3.0692913385826772</v>
      </c>
      <c r="T11" s="3">
        <f t="shared" si="1"/>
        <v>18.545454545454547</v>
      </c>
      <c r="U11" s="5">
        <f t="shared" si="2"/>
        <v>0.31435483870967745</v>
      </c>
      <c r="V11" s="5">
        <f t="shared" si="3"/>
        <v>6.8749999999999992E-2</v>
      </c>
      <c r="W11" s="5">
        <f t="shared" si="4"/>
        <v>8.7912087912087919E-2</v>
      </c>
      <c r="X11" s="5">
        <f t="shared" si="5"/>
        <v>0.13978494623655913</v>
      </c>
      <c r="Y11" s="5">
        <f t="shared" si="6"/>
        <v>0.3924242424242424</v>
      </c>
      <c r="Z11" s="5">
        <f t="shared" si="7"/>
        <v>1.2477064220183487</v>
      </c>
      <c r="AA11" s="5">
        <f t="shared" si="8"/>
        <v>4.7727272727272725</v>
      </c>
      <c r="AB11" s="5">
        <f t="shared" si="9"/>
        <v>9.5250000000000004</v>
      </c>
      <c r="AC11" s="31"/>
      <c r="AD11" s="23"/>
      <c r="AE11" s="23"/>
      <c r="AF11" s="23"/>
      <c r="AG11" s="23"/>
      <c r="AH11" s="23"/>
      <c r="AI11" s="23"/>
      <c r="AJ11" s="31"/>
    </row>
    <row r="12" spans="1:45" s="25" customFormat="1">
      <c r="B12" s="25" t="s">
        <v>51</v>
      </c>
      <c r="C12" s="25">
        <v>174.25</v>
      </c>
      <c r="D12" s="25" t="s">
        <v>77</v>
      </c>
      <c r="E12" s="25">
        <v>108000</v>
      </c>
      <c r="F12" s="25">
        <v>239</v>
      </c>
      <c r="G12" s="25">
        <v>468</v>
      </c>
      <c r="H12" s="25">
        <v>112</v>
      </c>
      <c r="I12" s="25">
        <v>610</v>
      </c>
      <c r="J12" s="25">
        <v>582</v>
      </c>
      <c r="K12" s="25">
        <v>459</v>
      </c>
      <c r="L12" s="25">
        <v>40000</v>
      </c>
      <c r="M12" s="25">
        <v>392000</v>
      </c>
      <c r="N12" s="25">
        <v>141.4</v>
      </c>
      <c r="O12" s="27">
        <f>M12/N12</f>
        <v>2772.2772277227723</v>
      </c>
      <c r="P12" s="25">
        <v>4.84</v>
      </c>
      <c r="Q12" s="27">
        <v>167364.01673640168</v>
      </c>
      <c r="R12" s="27">
        <v>185567.01030927835</v>
      </c>
      <c r="S12" s="3">
        <f t="shared" si="0"/>
        <v>2.7</v>
      </c>
      <c r="T12" s="3">
        <f t="shared" si="1"/>
        <v>2.4351464435146442</v>
      </c>
      <c r="U12" s="25">
        <f t="shared" si="2"/>
        <v>58.064516129032256</v>
      </c>
      <c r="V12" s="25">
        <f t="shared" si="3"/>
        <v>74.6875</v>
      </c>
      <c r="W12" s="25">
        <f t="shared" si="4"/>
        <v>102.85714285714286</v>
      </c>
      <c r="X12" s="25">
        <f t="shared" si="5"/>
        <v>120.43010752688171</v>
      </c>
      <c r="Y12" s="25">
        <f t="shared" si="6"/>
        <v>92.424242424242436</v>
      </c>
      <c r="Z12" s="25">
        <f t="shared" si="7"/>
        <v>177.9816513761468</v>
      </c>
      <c r="AA12" s="25">
        <f t="shared" si="8"/>
        <v>521.59090909090912</v>
      </c>
      <c r="AB12" s="25">
        <f t="shared" si="9"/>
        <v>2000</v>
      </c>
      <c r="AC12" s="27">
        <f>E12*380000/M12</f>
        <v>104693.87755102041</v>
      </c>
      <c r="AD12" s="28">
        <v>231.68367346938774</v>
      </c>
      <c r="AE12" s="28">
        <v>453.67346938775512</v>
      </c>
      <c r="AF12" s="28">
        <v>108.57142857142857</v>
      </c>
      <c r="AG12" s="28">
        <v>591.32653061224494</v>
      </c>
      <c r="AH12" s="28">
        <v>564.18367346938771</v>
      </c>
      <c r="AI12" s="28">
        <v>444.94897959183675</v>
      </c>
      <c r="AJ12" s="27">
        <f>L12*380000/M12</f>
        <v>38775.510204081635</v>
      </c>
      <c r="AK12" s="28">
        <f>AC12/10770</f>
        <v>9.7208799954522203</v>
      </c>
      <c r="AL12" s="28">
        <f>AD12/480</f>
        <v>0.48267431972789115</v>
      </c>
      <c r="AM12" s="28">
        <f>AE12/683</f>
        <v>0.66423641198792849</v>
      </c>
      <c r="AN12" s="28">
        <f>AF12/140</f>
        <v>0.77551020408163263</v>
      </c>
      <c r="AO12" s="28">
        <f>AG12/982</f>
        <v>0.60216550978843675</v>
      </c>
      <c r="AP12" s="28">
        <f>AH12/556</f>
        <v>1.0147188371751577</v>
      </c>
      <c r="AQ12" s="28">
        <f>AI12/148</f>
        <v>3.0064120242691672</v>
      </c>
      <c r="AR12" s="28">
        <f>AJ12/131</f>
        <v>295.99626109985979</v>
      </c>
    </row>
    <row r="13" spans="1:45" s="25" customFormat="1">
      <c r="B13" s="25" t="s">
        <v>51</v>
      </c>
      <c r="C13" s="25">
        <v>174.4</v>
      </c>
      <c r="D13" s="25" t="s">
        <v>77</v>
      </c>
      <c r="E13" s="25">
        <v>108000</v>
      </c>
      <c r="F13" s="25">
        <v>70.900000000000006</v>
      </c>
      <c r="G13" s="25">
        <v>104</v>
      </c>
      <c r="H13" s="25">
        <v>47.5</v>
      </c>
      <c r="I13" s="25">
        <v>961</v>
      </c>
      <c r="J13" s="25">
        <v>593</v>
      </c>
      <c r="K13" s="25">
        <v>242</v>
      </c>
      <c r="L13" s="25">
        <v>37000</v>
      </c>
      <c r="M13" s="25">
        <v>353000</v>
      </c>
      <c r="N13" s="25">
        <v>145.5</v>
      </c>
      <c r="O13" s="27">
        <f>M13/N13</f>
        <v>2426.1168384879725</v>
      </c>
      <c r="P13" s="25">
        <v>6.03</v>
      </c>
      <c r="Q13" s="27">
        <v>521861.77715091675</v>
      </c>
      <c r="R13" s="27">
        <v>182124.7892074199</v>
      </c>
      <c r="S13" s="3">
        <f t="shared" si="0"/>
        <v>2.9189189189189189</v>
      </c>
      <c r="T13" s="3">
        <f t="shared" si="1"/>
        <v>8.3638928067700977</v>
      </c>
      <c r="U13" s="25">
        <f t="shared" si="2"/>
        <v>58.064516129032256</v>
      </c>
      <c r="V13" s="25">
        <f t="shared" si="3"/>
        <v>22.15625</v>
      </c>
      <c r="W13" s="25">
        <f t="shared" si="4"/>
        <v>22.857142857142858</v>
      </c>
      <c r="X13" s="25">
        <f t="shared" si="5"/>
        <v>51.075268817204297</v>
      </c>
      <c r="Y13" s="25">
        <f t="shared" si="6"/>
        <v>145.60606060606062</v>
      </c>
      <c r="Z13" s="25">
        <f t="shared" si="7"/>
        <v>181.34556574923548</v>
      </c>
      <c r="AA13" s="25">
        <f t="shared" si="8"/>
        <v>275</v>
      </c>
      <c r="AB13" s="25">
        <f t="shared" si="9"/>
        <v>1850</v>
      </c>
      <c r="AC13" s="27">
        <f t="shared" ref="AC13:AC34" si="10">E13*380000/M13</f>
        <v>116260.62322946175</v>
      </c>
      <c r="AD13" s="28">
        <v>76.322946175637398</v>
      </c>
      <c r="AE13" s="28">
        <v>111.95467422096317</v>
      </c>
      <c r="AF13" s="28">
        <v>51.13314447592068</v>
      </c>
      <c r="AG13" s="28">
        <v>1034.5042492917846</v>
      </c>
      <c r="AH13" s="28">
        <v>638.35694050991503</v>
      </c>
      <c r="AI13" s="28">
        <v>260.50991501416428</v>
      </c>
      <c r="AJ13" s="27">
        <f t="shared" ref="AJ13:AJ34" si="11">L13*380000/M13</f>
        <v>39830.028328611901</v>
      </c>
      <c r="AK13" s="28">
        <f>AC13/10770</f>
        <v>10.794858238575836</v>
      </c>
      <c r="AL13" s="28">
        <f>AD13/480</f>
        <v>0.15900613786591125</v>
      </c>
      <c r="AM13" s="28">
        <f>AE13/683</f>
        <v>0.16391606767344535</v>
      </c>
      <c r="AN13" s="28">
        <f>AF13/140</f>
        <v>0.36523674625657626</v>
      </c>
      <c r="AO13" s="28">
        <f>AG13/982</f>
        <v>1.053466648973304</v>
      </c>
      <c r="AP13" s="28">
        <f>AH13/556</f>
        <v>1.1481239937228687</v>
      </c>
      <c r="AQ13" s="28">
        <f>AI13/148</f>
        <v>1.760202128474083</v>
      </c>
      <c r="AR13" s="28">
        <f>AJ13/131</f>
        <v>304.04601777566336</v>
      </c>
    </row>
    <row r="14" spans="1:45" s="25" customFormat="1">
      <c r="B14" s="25" t="s">
        <v>51</v>
      </c>
      <c r="C14" s="25">
        <v>174.5</v>
      </c>
      <c r="D14" s="25" t="s">
        <v>77</v>
      </c>
      <c r="E14" s="25">
        <v>108000</v>
      </c>
      <c r="F14" s="25">
        <v>68.599999999999994</v>
      </c>
      <c r="G14" s="25">
        <v>102</v>
      </c>
      <c r="H14" s="25">
        <v>46.2</v>
      </c>
      <c r="I14" s="25">
        <v>730</v>
      </c>
      <c r="J14" s="25">
        <v>729</v>
      </c>
      <c r="K14" s="25">
        <v>241</v>
      </c>
      <c r="L14" s="25">
        <v>37000</v>
      </c>
      <c r="M14" s="25">
        <v>357000</v>
      </c>
      <c r="N14" s="25">
        <v>142.6</v>
      </c>
      <c r="O14" s="27">
        <f>M14/N14</f>
        <v>2503.5063113604488</v>
      </c>
      <c r="P14" s="25">
        <v>5.07</v>
      </c>
      <c r="Q14" s="27">
        <v>539358.60058309045</v>
      </c>
      <c r="R14" s="27">
        <v>148148.14814814815</v>
      </c>
      <c r="S14" s="3">
        <f t="shared" si="0"/>
        <v>2.9189189189189189</v>
      </c>
      <c r="T14" s="3">
        <f t="shared" si="1"/>
        <v>10.626822157434404</v>
      </c>
      <c r="U14" s="25">
        <f>E15/1860</f>
        <v>58.064516129032256</v>
      </c>
      <c r="V14" s="25">
        <f t="shared" si="3"/>
        <v>21.437499999999996</v>
      </c>
      <c r="W14" s="25">
        <f t="shared" si="4"/>
        <v>22.41758241758242</v>
      </c>
      <c r="X14" s="25">
        <f t="shared" si="5"/>
        <v>49.677419354838712</v>
      </c>
      <c r="Y14" s="25">
        <f t="shared" si="6"/>
        <v>110.60606060606061</v>
      </c>
      <c r="Z14" s="25">
        <f t="shared" si="7"/>
        <v>222.93577981651376</v>
      </c>
      <c r="AA14" s="25">
        <f t="shared" si="8"/>
        <v>273.86363636363637</v>
      </c>
      <c r="AB14" s="25">
        <f t="shared" si="9"/>
        <v>1850</v>
      </c>
      <c r="AC14" s="27">
        <f>E14*380000/M14</f>
        <v>114957.98319327731</v>
      </c>
      <c r="AD14" s="28">
        <v>73.019607843137251</v>
      </c>
      <c r="AE14" s="28">
        <v>108.57142857142857</v>
      </c>
      <c r="AF14" s="28">
        <v>49.176470588235297</v>
      </c>
      <c r="AG14" s="28">
        <v>777.03081232493003</v>
      </c>
      <c r="AH14" s="28">
        <v>775.96638655462186</v>
      </c>
      <c r="AI14" s="28">
        <v>256.52661064425769</v>
      </c>
      <c r="AJ14" s="27">
        <f t="shared" si="11"/>
        <v>39383.753501400563</v>
      </c>
      <c r="AK14" s="28">
        <f>AC14/10770</f>
        <v>10.673907445986751</v>
      </c>
      <c r="AL14" s="28">
        <f>AD14/480</f>
        <v>0.15212418300653593</v>
      </c>
      <c r="AM14" s="28">
        <f>AE14/683</f>
        <v>0.1589625601338632</v>
      </c>
      <c r="AN14" s="28">
        <f>AF14/140</f>
        <v>0.3512605042016807</v>
      </c>
      <c r="AO14" s="28">
        <f>AG14/982</f>
        <v>0.79127373963842162</v>
      </c>
      <c r="AP14" s="28">
        <f>AH14/556</f>
        <v>1.3956229974003991</v>
      </c>
      <c r="AQ14" s="28">
        <f>AI14/148</f>
        <v>1.7332879097584979</v>
      </c>
      <c r="AR14" s="28">
        <f>AJ14/131</f>
        <v>300.63933970534782</v>
      </c>
    </row>
    <row r="15" spans="1:45" s="33" customFormat="1">
      <c r="E15" s="25">
        <v>108000</v>
      </c>
      <c r="F15" s="33">
        <v>126.16666666666667</v>
      </c>
      <c r="G15" s="33">
        <v>224.66666666666666</v>
      </c>
      <c r="H15" s="33">
        <v>68.566666666666663</v>
      </c>
      <c r="I15" s="33">
        <v>767</v>
      </c>
      <c r="J15" s="33">
        <v>634.66666666666663</v>
      </c>
      <c r="K15" s="33">
        <v>314</v>
      </c>
      <c r="L15" s="33">
        <v>38000</v>
      </c>
      <c r="M15" s="33">
        <v>367333.33333333331</v>
      </c>
      <c r="O15" s="34"/>
      <c r="Q15" s="34"/>
      <c r="R15" s="34"/>
      <c r="S15" s="3"/>
      <c r="T15" s="3"/>
      <c r="AC15" s="27">
        <f>E15*380000/M15</f>
        <v>111724.13793103449</v>
      </c>
      <c r="AD15" s="27">
        <f>F15*380000/M15</f>
        <v>130.51724137931035</v>
      </c>
      <c r="AE15" s="27">
        <f>G15*380000/M15</f>
        <v>232.41379310344828</v>
      </c>
      <c r="AF15" s="28">
        <f>H15*380000/M15</f>
        <v>70.931034482758619</v>
      </c>
      <c r="AG15" s="28">
        <f>I15*380000/M15</f>
        <v>793.44827586206895</v>
      </c>
      <c r="AH15" s="28">
        <f>J15*380000/M15</f>
        <v>656.55172413793105</v>
      </c>
      <c r="AI15" s="28">
        <f>K15*380000/M15</f>
        <v>324.82758620689657</v>
      </c>
      <c r="AJ15" s="27">
        <f>L15*380000/M15</f>
        <v>39310.34482758621</v>
      </c>
      <c r="AK15" s="28">
        <f>AC15/10770</f>
        <v>10.373643261934493</v>
      </c>
      <c r="AL15" s="28">
        <f>AD15/480</f>
        <v>0.27191091954022989</v>
      </c>
      <c r="AM15" s="28">
        <f>AE15/683</f>
        <v>0.34028373807239864</v>
      </c>
      <c r="AN15" s="28">
        <f>AF15/140</f>
        <v>0.50665024630541866</v>
      </c>
      <c r="AO15" s="28">
        <f>AG15/982</f>
        <v>0.80799213427909267</v>
      </c>
      <c r="AP15" s="28">
        <f>AH15/556</f>
        <v>1.1808484247085091</v>
      </c>
      <c r="AQ15" s="28">
        <f>AI15/148</f>
        <v>2.1947809878844362</v>
      </c>
      <c r="AR15" s="28">
        <f>AJ15/131</f>
        <v>300.07896814951306</v>
      </c>
      <c r="AS15" s="33" t="s">
        <v>112</v>
      </c>
    </row>
    <row r="16" spans="1:45">
      <c r="A16" t="s">
        <v>89</v>
      </c>
      <c r="B16" t="s">
        <v>51</v>
      </c>
      <c r="C16">
        <v>174.1</v>
      </c>
      <c r="D16">
        <v>174.8</v>
      </c>
      <c r="E16">
        <v>108000</v>
      </c>
      <c r="I16">
        <v>120</v>
      </c>
      <c r="J16">
        <v>590</v>
      </c>
      <c r="K16">
        <v>240</v>
      </c>
      <c r="L16">
        <v>38100</v>
      </c>
      <c r="Q16" s="1"/>
      <c r="R16" s="1"/>
      <c r="S16" s="3"/>
      <c r="T16" s="3"/>
      <c r="U16" s="7">
        <f t="shared" si="2"/>
        <v>58.064516129032256</v>
      </c>
      <c r="V16" s="7">
        <f t="shared" si="3"/>
        <v>0</v>
      </c>
      <c r="W16" s="7">
        <f t="shared" si="4"/>
        <v>0</v>
      </c>
      <c r="X16" s="7">
        <f t="shared" si="5"/>
        <v>0</v>
      </c>
      <c r="Y16" s="7">
        <f t="shared" si="6"/>
        <v>18.181818181818183</v>
      </c>
      <c r="Z16" s="7">
        <f t="shared" si="7"/>
        <v>180.42813455657492</v>
      </c>
      <c r="AA16" s="7">
        <f t="shared" si="8"/>
        <v>272.72727272727275</v>
      </c>
      <c r="AB16" s="7">
        <f t="shared" si="9"/>
        <v>1905</v>
      </c>
      <c r="AC16" s="27" t="e">
        <f t="shared" si="10"/>
        <v>#DIV/0!</v>
      </c>
      <c r="AD16" s="23"/>
      <c r="AE16" s="23"/>
      <c r="AF16" s="23"/>
      <c r="AG16" s="23"/>
      <c r="AH16" s="23"/>
      <c r="AI16" s="23"/>
      <c r="AJ16" s="27" t="e">
        <f t="shared" si="11"/>
        <v>#DIV/0!</v>
      </c>
      <c r="AK16" s="28"/>
      <c r="AL16" s="3"/>
      <c r="AM16" s="3"/>
      <c r="AN16" s="3"/>
      <c r="AO16" s="3"/>
      <c r="AP16" s="3"/>
      <c r="AQ16" s="3"/>
      <c r="AR16" s="3"/>
    </row>
    <row r="17" spans="1:44">
      <c r="A17" s="8" t="s">
        <v>140</v>
      </c>
      <c r="B17" s="8" t="s">
        <v>53</v>
      </c>
      <c r="C17" s="8">
        <v>128.55000000000001</v>
      </c>
      <c r="D17" s="8" t="s">
        <v>71</v>
      </c>
      <c r="E17" s="8">
        <v>267.2</v>
      </c>
      <c r="F17" s="8">
        <v>0.02</v>
      </c>
      <c r="G17" s="9">
        <v>0.04</v>
      </c>
      <c r="H17" s="9">
        <v>0.01</v>
      </c>
      <c r="I17" s="8">
        <v>0.26</v>
      </c>
      <c r="J17" s="8">
        <v>0.27</v>
      </c>
      <c r="K17" s="8">
        <v>0.49</v>
      </c>
      <c r="L17" s="8">
        <v>65.400000000000006</v>
      </c>
      <c r="M17" s="8">
        <v>500</v>
      </c>
      <c r="N17" s="8" t="s">
        <v>166</v>
      </c>
      <c r="O17" s="10"/>
      <c r="P17" s="8">
        <v>0.02</v>
      </c>
      <c r="Q17" s="1"/>
      <c r="R17" s="1"/>
      <c r="S17" s="3">
        <f t="shared" si="0"/>
        <v>4.0856269113149839</v>
      </c>
      <c r="T17" s="3">
        <f t="shared" si="1"/>
        <v>13.5</v>
      </c>
      <c r="U17" s="5">
        <f t="shared" si="2"/>
        <v>0.14365591397849461</v>
      </c>
      <c r="V17" s="5">
        <f t="shared" si="3"/>
        <v>6.2499999999999995E-3</v>
      </c>
      <c r="W17" s="5">
        <f t="shared" si="4"/>
        <v>8.7912087912087912E-3</v>
      </c>
      <c r="X17" s="5">
        <f t="shared" si="5"/>
        <v>1.075268817204301E-2</v>
      </c>
      <c r="Y17" s="5">
        <f t="shared" si="6"/>
        <v>3.9393939393939398E-2</v>
      </c>
      <c r="Z17" s="5">
        <f t="shared" si="7"/>
        <v>8.2568807339449546E-2</v>
      </c>
      <c r="AA17" s="5">
        <f t="shared" si="8"/>
        <v>0.55681818181818177</v>
      </c>
      <c r="AB17" s="5">
        <f t="shared" si="9"/>
        <v>3.2700000000000005</v>
      </c>
      <c r="AC17" s="27">
        <f t="shared" si="10"/>
        <v>203072</v>
      </c>
      <c r="AD17" s="23">
        <v>15.2</v>
      </c>
      <c r="AE17" s="23">
        <v>30.4</v>
      </c>
      <c r="AF17" s="23">
        <v>7.6</v>
      </c>
      <c r="AG17" s="23">
        <v>197.6</v>
      </c>
      <c r="AH17" s="23">
        <v>205.2</v>
      </c>
      <c r="AI17" s="23">
        <v>372.4</v>
      </c>
      <c r="AJ17" s="27">
        <f t="shared" si="11"/>
        <v>49704.000000000007</v>
      </c>
      <c r="AK17" s="28"/>
      <c r="AL17" s="3"/>
      <c r="AM17" s="3"/>
      <c r="AN17" s="3"/>
      <c r="AO17" s="3"/>
      <c r="AP17" s="3"/>
      <c r="AQ17" s="3"/>
      <c r="AR17" s="3"/>
    </row>
    <row r="18" spans="1:44">
      <c r="A18" s="8" t="s">
        <v>142</v>
      </c>
      <c r="B18" s="8" t="s">
        <v>53</v>
      </c>
      <c r="C18" s="8">
        <v>159</v>
      </c>
      <c r="D18" s="8" t="s">
        <v>73</v>
      </c>
      <c r="E18" s="8">
        <v>407.2</v>
      </c>
      <c r="F18" s="8">
        <v>0.08</v>
      </c>
      <c r="G18" s="9">
        <v>0.04</v>
      </c>
      <c r="H18" s="8">
        <v>0.04</v>
      </c>
      <c r="I18" s="8">
        <v>1.04</v>
      </c>
      <c r="J18" s="8">
        <v>1.23</v>
      </c>
      <c r="K18" s="8">
        <v>0.61</v>
      </c>
      <c r="L18" s="8">
        <v>140.6</v>
      </c>
      <c r="M18" s="8">
        <v>200</v>
      </c>
      <c r="N18" s="8" t="s">
        <v>166</v>
      </c>
      <c r="O18" s="10"/>
      <c r="P18" s="8">
        <v>0.02</v>
      </c>
      <c r="Q18" s="1"/>
      <c r="R18" s="1"/>
      <c r="S18" s="3">
        <f t="shared" si="0"/>
        <v>2.8961593172119486</v>
      </c>
      <c r="T18" s="3">
        <f t="shared" si="1"/>
        <v>15.375</v>
      </c>
      <c r="U18" s="5">
        <f t="shared" si="2"/>
        <v>0.21892473118279571</v>
      </c>
      <c r="V18" s="5">
        <f t="shared" si="3"/>
        <v>2.4999999999999998E-2</v>
      </c>
      <c r="W18" s="5">
        <f t="shared" si="4"/>
        <v>8.7912087912087912E-3</v>
      </c>
      <c r="X18" s="5">
        <f t="shared" si="5"/>
        <v>4.301075268817204E-2</v>
      </c>
      <c r="Y18" s="5">
        <f t="shared" si="6"/>
        <v>0.15757575757575759</v>
      </c>
      <c r="Z18" s="5">
        <f t="shared" si="7"/>
        <v>0.37614678899082565</v>
      </c>
      <c r="AA18" s="5">
        <f t="shared" si="8"/>
        <v>0.69318181818181812</v>
      </c>
      <c r="AB18" s="5">
        <f t="shared" si="9"/>
        <v>7.0299999999999994</v>
      </c>
      <c r="AC18" s="27">
        <f t="shared" si="10"/>
        <v>773680</v>
      </c>
      <c r="AD18" s="23">
        <v>152</v>
      </c>
      <c r="AE18" s="23">
        <v>76</v>
      </c>
      <c r="AF18" s="23">
        <v>76</v>
      </c>
      <c r="AG18" s="23">
        <v>1976</v>
      </c>
      <c r="AH18" s="23">
        <v>2337</v>
      </c>
      <c r="AI18" s="23">
        <v>1159</v>
      </c>
      <c r="AJ18" s="27">
        <f t="shared" si="11"/>
        <v>267140</v>
      </c>
      <c r="AK18" s="28"/>
      <c r="AL18" s="3"/>
      <c r="AM18" s="3"/>
      <c r="AN18" s="3"/>
      <c r="AO18" s="3"/>
      <c r="AP18" s="3"/>
      <c r="AQ18" s="3"/>
      <c r="AR18" s="3"/>
    </row>
    <row r="19" spans="1:44" s="25" customFormat="1">
      <c r="A19" s="25" t="s">
        <v>143</v>
      </c>
      <c r="B19" s="25" t="s">
        <v>53</v>
      </c>
      <c r="C19" s="25">
        <v>155.21</v>
      </c>
      <c r="D19" s="25" t="s">
        <v>73</v>
      </c>
      <c r="E19" s="25">
        <v>20242</v>
      </c>
      <c r="F19" s="25">
        <v>25.6</v>
      </c>
      <c r="G19" s="25">
        <v>44.7</v>
      </c>
      <c r="H19" s="25">
        <v>13.6</v>
      </c>
      <c r="I19" s="25">
        <v>308</v>
      </c>
      <c r="J19" s="25">
        <v>625</v>
      </c>
      <c r="K19" s="25">
        <v>122</v>
      </c>
      <c r="L19" s="26">
        <v>13230</v>
      </c>
      <c r="M19" s="25">
        <v>65500</v>
      </c>
      <c r="N19" s="25">
        <v>29.9</v>
      </c>
      <c r="O19" s="27">
        <f>M19/N19</f>
        <v>2190.635451505017</v>
      </c>
      <c r="P19" s="25">
        <v>3.13</v>
      </c>
      <c r="Q19" s="27">
        <v>516796.875</v>
      </c>
      <c r="R19" s="27">
        <v>32387.200000000001</v>
      </c>
      <c r="S19" s="3">
        <f t="shared" si="0"/>
        <v>1.5300075585789872</v>
      </c>
      <c r="T19" s="3">
        <f t="shared" si="1"/>
        <v>24.4140625</v>
      </c>
      <c r="U19" s="25">
        <f t="shared" si="2"/>
        <v>10.882795698924731</v>
      </c>
      <c r="V19" s="25">
        <f t="shared" si="3"/>
        <v>8</v>
      </c>
      <c r="W19" s="25">
        <f t="shared" si="4"/>
        <v>9.8241758241758248</v>
      </c>
      <c r="X19" s="25">
        <f t="shared" si="5"/>
        <v>14.623655913978494</v>
      </c>
      <c r="Y19" s="25">
        <f t="shared" si="6"/>
        <v>46.666666666666671</v>
      </c>
      <c r="Z19" s="25">
        <f t="shared" si="7"/>
        <v>191.131498470948</v>
      </c>
      <c r="AA19" s="25">
        <f t="shared" si="8"/>
        <v>138.63636363636363</v>
      </c>
      <c r="AB19" s="25">
        <f t="shared" si="9"/>
        <v>661.5</v>
      </c>
      <c r="AC19" s="27">
        <f t="shared" si="10"/>
        <v>117434.50381679389</v>
      </c>
      <c r="AD19" s="28">
        <v>148.51908396946564</v>
      </c>
      <c r="AE19" s="28">
        <v>259.32824427480915</v>
      </c>
      <c r="AF19" s="28">
        <v>78.900763358778633</v>
      </c>
      <c r="AG19" s="28">
        <v>1786.8702290076335</v>
      </c>
      <c r="AH19" s="28">
        <v>3625.9541984732823</v>
      </c>
      <c r="AI19" s="28">
        <v>707.78625954198469</v>
      </c>
      <c r="AJ19" s="27">
        <f t="shared" si="11"/>
        <v>76754.198473282449</v>
      </c>
      <c r="AK19" s="28">
        <f>AC19/10770</f>
        <v>10.903853650584391</v>
      </c>
      <c r="AL19" s="28">
        <f>AD19/480</f>
        <v>0.30941475826972009</v>
      </c>
      <c r="AM19" s="28">
        <f>AE19/683</f>
        <v>0.37968996233500607</v>
      </c>
      <c r="AN19" s="28">
        <f>AF19/140</f>
        <v>0.56357688113413307</v>
      </c>
      <c r="AO19" s="28">
        <f>AG19/982</f>
        <v>1.8196234511279363</v>
      </c>
      <c r="AP19" s="28">
        <f>AH19/556</f>
        <v>6.5215003569663352</v>
      </c>
      <c r="AQ19" s="28">
        <f>AI19/148</f>
        <v>4.7823395914998965</v>
      </c>
      <c r="AR19" s="28">
        <f>AJ19/131</f>
        <v>585.90991200978965</v>
      </c>
    </row>
    <row r="20" spans="1:44" s="25" customFormat="1">
      <c r="A20" s="25" t="s">
        <v>144</v>
      </c>
      <c r="B20" s="25" t="s">
        <v>53</v>
      </c>
      <c r="C20" s="25">
        <v>151.55000000000001</v>
      </c>
      <c r="D20" s="25" t="s">
        <v>73</v>
      </c>
      <c r="E20" s="25">
        <v>5808</v>
      </c>
      <c r="F20" s="25">
        <v>6.3</v>
      </c>
      <c r="G20" s="25">
        <v>11.7</v>
      </c>
      <c r="H20" s="25">
        <v>3.54</v>
      </c>
      <c r="I20" s="25">
        <v>96.1</v>
      </c>
      <c r="J20" s="25">
        <v>131</v>
      </c>
      <c r="K20" s="25">
        <v>57.5</v>
      </c>
      <c r="L20" s="26">
        <v>3895</v>
      </c>
      <c r="M20" s="25">
        <v>12800</v>
      </c>
      <c r="N20" s="25">
        <v>5.8</v>
      </c>
      <c r="O20" s="27">
        <f>M20/N20</f>
        <v>2206.8965517241381</v>
      </c>
      <c r="P20" s="25">
        <v>0.64</v>
      </c>
      <c r="Q20" s="27">
        <v>618253.96825396828</v>
      </c>
      <c r="R20" s="27">
        <v>44335.877862595422</v>
      </c>
      <c r="S20" s="3">
        <f t="shared" si="0"/>
        <v>1.4911424903722721</v>
      </c>
      <c r="T20" s="3">
        <f t="shared" si="1"/>
        <v>20.793650793650794</v>
      </c>
      <c r="U20" s="25">
        <f t="shared" si="2"/>
        <v>3.1225806451612903</v>
      </c>
      <c r="V20" s="25">
        <f t="shared" si="3"/>
        <v>1.9687499999999998</v>
      </c>
      <c r="W20" s="25">
        <f t="shared" si="4"/>
        <v>2.5714285714285712</v>
      </c>
      <c r="X20" s="25">
        <f t="shared" si="5"/>
        <v>3.8064516129032255</v>
      </c>
      <c r="Y20" s="25">
        <f t="shared" si="6"/>
        <v>14.560606060606061</v>
      </c>
      <c r="Z20" s="25">
        <f t="shared" si="7"/>
        <v>40.061162079510702</v>
      </c>
      <c r="AA20" s="25">
        <f t="shared" si="8"/>
        <v>65.340909090909093</v>
      </c>
      <c r="AB20" s="25">
        <f t="shared" si="9"/>
        <v>194.75</v>
      </c>
      <c r="AC20" s="27">
        <f t="shared" si="10"/>
        <v>172425</v>
      </c>
      <c r="AD20" s="28">
        <v>187.03125</v>
      </c>
      <c r="AE20" s="28">
        <v>347.34375</v>
      </c>
      <c r="AF20" s="28">
        <v>105.09375</v>
      </c>
      <c r="AG20" s="28">
        <v>2852.96875</v>
      </c>
      <c r="AH20" s="28">
        <v>3889.0625</v>
      </c>
      <c r="AI20" s="28">
        <v>1707.03125</v>
      </c>
      <c r="AJ20" s="27">
        <f t="shared" si="11"/>
        <v>115632.8125</v>
      </c>
      <c r="AK20" s="28">
        <f>AC20/10770</f>
        <v>16.00974930362117</v>
      </c>
      <c r="AL20" s="28">
        <f>AD20/480</f>
        <v>0.3896484375</v>
      </c>
      <c r="AM20" s="28">
        <f>AE20/683</f>
        <v>0.50855600292825764</v>
      </c>
      <c r="AN20" s="28">
        <f>AF20/140</f>
        <v>0.75066964285714288</v>
      </c>
      <c r="AO20" s="28">
        <f>AG20/982</f>
        <v>2.9052634928716903</v>
      </c>
      <c r="AP20" s="28">
        <f>AH20/556</f>
        <v>6.9947167266187051</v>
      </c>
      <c r="AQ20" s="28">
        <f>AI20/148</f>
        <v>11.533994932432432</v>
      </c>
      <c r="AR20" s="28">
        <f>AJ20/131</f>
        <v>882.69322519083971</v>
      </c>
    </row>
    <row r="21" spans="1:44">
      <c r="A21" s="8" t="s">
        <v>145</v>
      </c>
      <c r="B21" s="8" t="s">
        <v>53</v>
      </c>
      <c r="C21" s="8">
        <v>304</v>
      </c>
      <c r="D21" s="8" t="s">
        <v>74</v>
      </c>
      <c r="E21" s="8">
        <v>16.3</v>
      </c>
      <c r="F21" s="8">
        <v>0.02</v>
      </c>
      <c r="G21" s="9">
        <v>0.04</v>
      </c>
      <c r="H21" s="9">
        <v>0.01</v>
      </c>
      <c r="I21" s="8">
        <v>0.48</v>
      </c>
      <c r="J21" s="8">
        <v>0.49</v>
      </c>
      <c r="K21" s="8">
        <v>2.44</v>
      </c>
      <c r="L21" s="8">
        <v>139</v>
      </c>
      <c r="M21" s="8">
        <v>15400</v>
      </c>
      <c r="N21" s="8">
        <v>0.5</v>
      </c>
      <c r="O21" s="10">
        <f>M21/N21</f>
        <v>30800</v>
      </c>
      <c r="P21" s="8">
        <v>0.01</v>
      </c>
      <c r="Q21" s="1"/>
      <c r="R21" s="1"/>
      <c r="S21" s="3">
        <f t="shared" si="0"/>
        <v>0.11726618705035972</v>
      </c>
      <c r="T21" s="3">
        <f t="shared" si="1"/>
        <v>24.5</v>
      </c>
      <c r="U21" s="5">
        <f t="shared" si="2"/>
        <v>8.7634408602150545E-3</v>
      </c>
      <c r="V21" s="5">
        <f t="shared" si="3"/>
        <v>6.2499999999999995E-3</v>
      </c>
      <c r="W21" s="5">
        <f t="shared" si="4"/>
        <v>8.7912087912087912E-3</v>
      </c>
      <c r="X21" s="5">
        <f t="shared" si="5"/>
        <v>1.075268817204301E-2</v>
      </c>
      <c r="Y21" s="5">
        <f t="shared" si="6"/>
        <v>7.2727272727272724E-2</v>
      </c>
      <c r="Z21" s="5">
        <f t="shared" si="7"/>
        <v>0.14984709480122324</v>
      </c>
      <c r="AA21" s="5">
        <f t="shared" si="8"/>
        <v>2.7727272727272725</v>
      </c>
      <c r="AB21" s="5">
        <f t="shared" si="9"/>
        <v>6.95</v>
      </c>
      <c r="AC21" s="27">
        <f t="shared" si="10"/>
        <v>402.20779220779218</v>
      </c>
      <c r="AD21" s="23">
        <v>0.4935064935064935</v>
      </c>
      <c r="AE21" s="23">
        <v>0.98701298701298701</v>
      </c>
      <c r="AF21" s="23">
        <v>0.24675324675324675</v>
      </c>
      <c r="AG21" s="23">
        <v>11.844155844155845</v>
      </c>
      <c r="AH21" s="23">
        <v>12.090909090909092</v>
      </c>
      <c r="AI21" s="23">
        <v>60.20779220779221</v>
      </c>
      <c r="AJ21" s="27">
        <f t="shared" si="11"/>
        <v>3429.8701298701299</v>
      </c>
      <c r="AK21" s="28"/>
      <c r="AL21" s="3"/>
      <c r="AM21" s="3"/>
      <c r="AN21" s="3"/>
      <c r="AO21" s="3"/>
      <c r="AP21" s="3"/>
      <c r="AQ21" s="3"/>
      <c r="AR21" s="3"/>
    </row>
    <row r="22" spans="1:44">
      <c r="A22" t="s">
        <v>146</v>
      </c>
      <c r="B22" s="5" t="s">
        <v>53</v>
      </c>
      <c r="C22" s="5">
        <v>306.10000000000002</v>
      </c>
      <c r="D22" s="5" t="s">
        <v>74</v>
      </c>
      <c r="E22">
        <v>576.6</v>
      </c>
      <c r="F22">
        <v>7.0000000000000007E-2</v>
      </c>
      <c r="G22" s="2">
        <v>0.04</v>
      </c>
      <c r="H22">
        <v>0.03</v>
      </c>
      <c r="I22">
        <v>0.92</v>
      </c>
      <c r="J22">
        <v>0.99</v>
      </c>
      <c r="K22">
        <v>0.61</v>
      </c>
      <c r="L22">
        <v>132.69999999999999</v>
      </c>
      <c r="M22">
        <v>300</v>
      </c>
      <c r="N22" t="s">
        <v>166</v>
      </c>
      <c r="O22" s="1"/>
      <c r="P22">
        <v>0.02</v>
      </c>
      <c r="Q22" s="1"/>
      <c r="R22" s="1"/>
      <c r="S22" s="3">
        <f t="shared" si="0"/>
        <v>4.3451394122079883</v>
      </c>
      <c r="T22" s="3">
        <f t="shared" si="1"/>
        <v>14.142857142857141</v>
      </c>
      <c r="U22" s="5">
        <f t="shared" si="2"/>
        <v>0.31</v>
      </c>
      <c r="V22" s="5">
        <f t="shared" si="3"/>
        <v>2.1875000000000002E-2</v>
      </c>
      <c r="W22" s="5">
        <f t="shared" si="4"/>
        <v>8.7912087912087912E-3</v>
      </c>
      <c r="X22" s="5">
        <f t="shared" si="5"/>
        <v>3.2258064516129031E-2</v>
      </c>
      <c r="Y22" s="5">
        <f t="shared" si="6"/>
        <v>0.1393939393939394</v>
      </c>
      <c r="Z22" s="5">
        <f t="shared" si="7"/>
        <v>0.30275229357798167</v>
      </c>
      <c r="AA22" s="5">
        <f t="shared" si="8"/>
        <v>0.69318181818181812</v>
      </c>
      <c r="AB22" s="5">
        <f t="shared" si="9"/>
        <v>6.6349999999999998</v>
      </c>
      <c r="AC22" s="27">
        <f t="shared" si="10"/>
        <v>730360</v>
      </c>
      <c r="AD22" s="23">
        <v>88.666666666666686</v>
      </c>
      <c r="AE22" s="23">
        <v>50.666666666666664</v>
      </c>
      <c r="AF22" s="23">
        <v>38</v>
      </c>
      <c r="AG22" s="23">
        <v>1165.3333333333333</v>
      </c>
      <c r="AH22" s="23">
        <v>1254</v>
      </c>
      <c r="AI22" s="23">
        <v>772.66666666666663</v>
      </c>
      <c r="AJ22" s="27">
        <f t="shared" si="11"/>
        <v>168086.66666666663</v>
      </c>
      <c r="AK22" s="28"/>
      <c r="AL22" s="3"/>
      <c r="AM22" s="3"/>
      <c r="AN22" s="3"/>
      <c r="AO22" s="3"/>
      <c r="AP22" s="3"/>
      <c r="AQ22" s="3"/>
      <c r="AR22" s="3"/>
    </row>
    <row r="23" spans="1:44">
      <c r="A23" t="s">
        <v>147</v>
      </c>
      <c r="B23" s="5" t="s">
        <v>53</v>
      </c>
      <c r="C23" s="5">
        <v>310.55</v>
      </c>
      <c r="D23" s="5" t="s">
        <v>76</v>
      </c>
      <c r="E23">
        <v>370.3</v>
      </c>
      <c r="F23">
        <v>0.04</v>
      </c>
      <c r="G23" s="2">
        <v>0.04</v>
      </c>
      <c r="H23">
        <v>0.02</v>
      </c>
      <c r="I23">
        <v>0.62</v>
      </c>
      <c r="J23">
        <v>0.73</v>
      </c>
      <c r="K23">
        <v>1.1399999999999999</v>
      </c>
      <c r="L23">
        <v>106.3</v>
      </c>
      <c r="M23">
        <v>4000</v>
      </c>
      <c r="N23">
        <v>0.6</v>
      </c>
      <c r="O23" s="1">
        <f>M23/N23</f>
        <v>6666.666666666667</v>
      </c>
      <c r="P23">
        <v>0.06</v>
      </c>
      <c r="Q23" s="1"/>
      <c r="R23" s="1"/>
      <c r="S23" s="3">
        <f t="shared" si="0"/>
        <v>3.4835371589840078</v>
      </c>
      <c r="T23" s="3">
        <f t="shared" si="1"/>
        <v>18.25</v>
      </c>
      <c r="U23" s="5">
        <f t="shared" si="2"/>
        <v>0.19908602150537635</v>
      </c>
      <c r="V23" s="5">
        <f t="shared" si="3"/>
        <v>1.2499999999999999E-2</v>
      </c>
      <c r="W23" s="5">
        <f t="shared" si="4"/>
        <v>8.7912087912087912E-3</v>
      </c>
      <c r="X23" s="5">
        <f t="shared" si="5"/>
        <v>2.150537634408602E-2</v>
      </c>
      <c r="Y23" s="5">
        <f t="shared" si="6"/>
        <v>9.3939393939393948E-2</v>
      </c>
      <c r="Z23" s="5">
        <f t="shared" si="7"/>
        <v>0.22324159021406728</v>
      </c>
      <c r="AA23" s="5">
        <f t="shared" si="8"/>
        <v>1.2954545454545454</v>
      </c>
      <c r="AB23" s="5">
        <f t="shared" si="9"/>
        <v>5.3149999999999995</v>
      </c>
      <c r="AC23" s="27">
        <f t="shared" si="10"/>
        <v>35178.5</v>
      </c>
      <c r="AD23" s="23">
        <v>3.8</v>
      </c>
      <c r="AE23" s="23">
        <v>3.8</v>
      </c>
      <c r="AF23" s="23">
        <v>1.9</v>
      </c>
      <c r="AG23" s="23">
        <v>58.9</v>
      </c>
      <c r="AH23" s="23">
        <v>69.349999999999994</v>
      </c>
      <c r="AI23" s="23">
        <v>108.3</v>
      </c>
      <c r="AJ23" s="27">
        <f t="shared" si="11"/>
        <v>10098.5</v>
      </c>
      <c r="AK23" s="28"/>
      <c r="AL23" s="3"/>
      <c r="AM23" s="3"/>
      <c r="AN23" s="3"/>
      <c r="AO23" s="3"/>
      <c r="AP23" s="3"/>
      <c r="AQ23" s="3"/>
      <c r="AR23" s="3"/>
    </row>
    <row r="24" spans="1:44">
      <c r="A24" s="8" t="s">
        <v>148</v>
      </c>
      <c r="B24" s="8" t="s">
        <v>53</v>
      </c>
      <c r="C24" s="8">
        <v>323.3</v>
      </c>
      <c r="D24" s="8" t="s">
        <v>75</v>
      </c>
      <c r="E24" s="8">
        <v>71.599999999999994</v>
      </c>
      <c r="F24" s="8">
        <v>0.02</v>
      </c>
      <c r="G24" s="9">
        <v>0.04</v>
      </c>
      <c r="H24" s="9">
        <v>0.01</v>
      </c>
      <c r="I24" s="8">
        <v>0.39</v>
      </c>
      <c r="J24" s="8">
        <v>4.79</v>
      </c>
      <c r="K24" s="8">
        <v>0.56000000000000005</v>
      </c>
      <c r="L24" s="8">
        <v>5.4</v>
      </c>
      <c r="M24" s="8">
        <v>300</v>
      </c>
      <c r="N24" s="8" t="s">
        <v>166</v>
      </c>
      <c r="O24" s="10"/>
      <c r="P24" s="8">
        <v>0.02</v>
      </c>
      <c r="Q24" s="1"/>
      <c r="R24" s="1"/>
      <c r="S24" s="3">
        <f t="shared" si="0"/>
        <v>13.259259259259258</v>
      </c>
      <c r="T24" s="3">
        <f t="shared" si="1"/>
        <v>239.5</v>
      </c>
      <c r="U24" s="5">
        <f t="shared" si="2"/>
        <v>3.8494623655913975E-2</v>
      </c>
      <c r="V24" s="5">
        <f t="shared" si="3"/>
        <v>6.2499999999999995E-3</v>
      </c>
      <c r="W24" s="5">
        <f t="shared" si="4"/>
        <v>8.7912087912087912E-3</v>
      </c>
      <c r="X24" s="5">
        <f t="shared" si="5"/>
        <v>1.075268817204301E-2</v>
      </c>
      <c r="Y24" s="5">
        <f t="shared" si="6"/>
        <v>5.9090909090909097E-2</v>
      </c>
      <c r="Z24" s="5">
        <f t="shared" si="7"/>
        <v>1.4648318042813455</v>
      </c>
      <c r="AA24" s="5">
        <f t="shared" si="8"/>
        <v>0.63636363636363646</v>
      </c>
      <c r="AB24" s="5">
        <f t="shared" si="9"/>
        <v>0.27</v>
      </c>
      <c r="AC24" s="27">
        <f t="shared" si="10"/>
        <v>90693.333333333314</v>
      </c>
      <c r="AD24" s="23">
        <v>25.333333333333332</v>
      </c>
      <c r="AE24" s="23">
        <v>50.666666666666664</v>
      </c>
      <c r="AF24" s="23">
        <v>12.666666666666666</v>
      </c>
      <c r="AG24" s="23">
        <v>494</v>
      </c>
      <c r="AH24" s="23">
        <v>6067.333333333333</v>
      </c>
      <c r="AI24" s="23">
        <v>709.33333333333348</v>
      </c>
      <c r="AJ24" s="27">
        <f t="shared" si="11"/>
        <v>6840.0000000000009</v>
      </c>
      <c r="AK24" s="28"/>
      <c r="AL24" s="3"/>
      <c r="AM24" s="3"/>
      <c r="AN24" s="3"/>
      <c r="AO24" s="3"/>
      <c r="AP24" s="3"/>
      <c r="AQ24" s="3"/>
      <c r="AR24" s="3"/>
    </row>
    <row r="25" spans="1:44">
      <c r="A25" t="s">
        <v>149</v>
      </c>
      <c r="B25" s="5" t="s">
        <v>53</v>
      </c>
      <c r="C25" s="5">
        <v>330.55</v>
      </c>
      <c r="D25" s="5" t="s">
        <v>75</v>
      </c>
      <c r="E25">
        <v>24.8</v>
      </c>
      <c r="F25" s="2">
        <v>0.01</v>
      </c>
      <c r="G25" s="2">
        <v>0.04</v>
      </c>
      <c r="H25" s="2">
        <v>0.01</v>
      </c>
      <c r="I25" s="2">
        <v>0.1</v>
      </c>
      <c r="J25" s="2">
        <v>0.06</v>
      </c>
      <c r="K25">
        <v>0.9</v>
      </c>
      <c r="L25">
        <v>40.200000000000003</v>
      </c>
      <c r="M25">
        <v>4500</v>
      </c>
      <c r="N25">
        <v>0.8</v>
      </c>
      <c r="O25" s="1">
        <f>M25/N25</f>
        <v>5625</v>
      </c>
      <c r="P25">
        <v>0.01</v>
      </c>
      <c r="Q25" s="1"/>
      <c r="R25" s="1"/>
      <c r="S25" s="3"/>
      <c r="T25" s="3"/>
      <c r="U25" s="5">
        <f t="shared" si="2"/>
        <v>1.3333333333333334E-2</v>
      </c>
      <c r="V25" s="5">
        <f t="shared" si="3"/>
        <v>3.1249999999999997E-3</v>
      </c>
      <c r="W25" s="5">
        <f t="shared" si="4"/>
        <v>8.7912087912087912E-3</v>
      </c>
      <c r="X25" s="5">
        <f t="shared" si="5"/>
        <v>1.075268817204301E-2</v>
      </c>
      <c r="Y25" s="5">
        <f t="shared" si="6"/>
        <v>1.5151515151515154E-2</v>
      </c>
      <c r="Z25" s="5">
        <f t="shared" si="7"/>
        <v>1.8348623853211007E-2</v>
      </c>
      <c r="AA25" s="5">
        <f t="shared" si="8"/>
        <v>1.0227272727272727</v>
      </c>
      <c r="AB25" s="5">
        <f t="shared" si="9"/>
        <v>2.0100000000000002</v>
      </c>
      <c r="AC25" s="27">
        <f t="shared" si="10"/>
        <v>2094.2222222222222</v>
      </c>
      <c r="AD25" s="23">
        <v>0.84444444444444444</v>
      </c>
      <c r="AE25" s="23">
        <v>3.3777777777777778</v>
      </c>
      <c r="AF25" s="23">
        <v>0.84444444444444444</v>
      </c>
      <c r="AG25" s="23">
        <v>8.4444444444444446</v>
      </c>
      <c r="AH25" s="23">
        <v>5.0666666666666664</v>
      </c>
      <c r="AI25" s="23">
        <v>76</v>
      </c>
      <c r="AJ25" s="27">
        <f t="shared" si="11"/>
        <v>3394.666666666667</v>
      </c>
      <c r="AK25" s="28"/>
      <c r="AL25" s="3"/>
      <c r="AM25" s="3"/>
      <c r="AN25" s="3"/>
      <c r="AO25" s="3"/>
      <c r="AP25" s="3"/>
      <c r="AQ25" s="3"/>
      <c r="AR25" s="3"/>
    </row>
    <row r="26" spans="1:44">
      <c r="A26" t="s">
        <v>150</v>
      </c>
      <c r="B26" s="5" t="s">
        <v>53</v>
      </c>
      <c r="C26" s="5">
        <v>345.4</v>
      </c>
      <c r="D26" s="5" t="s">
        <v>75</v>
      </c>
      <c r="E26">
        <v>77.099999999999994</v>
      </c>
      <c r="F26" s="2">
        <v>0.01</v>
      </c>
      <c r="G26" s="2">
        <v>0.04</v>
      </c>
      <c r="H26" s="2">
        <v>0.01</v>
      </c>
      <c r="I26" s="2">
        <v>0.1</v>
      </c>
      <c r="J26" s="2">
        <v>0.06</v>
      </c>
      <c r="K26">
        <v>0.59</v>
      </c>
      <c r="L26">
        <v>53.2</v>
      </c>
      <c r="M26">
        <v>100</v>
      </c>
      <c r="N26" t="s">
        <v>166</v>
      </c>
      <c r="O26" s="1"/>
      <c r="P26" t="s">
        <v>159</v>
      </c>
      <c r="Q26" s="1"/>
      <c r="R26" s="1"/>
      <c r="S26" s="3"/>
      <c r="T26" s="3"/>
      <c r="U26" s="5">
        <f t="shared" si="2"/>
        <v>4.1451612903225805E-2</v>
      </c>
      <c r="V26" s="5">
        <f t="shared" si="3"/>
        <v>3.1249999999999997E-3</v>
      </c>
      <c r="W26" s="5">
        <f t="shared" si="4"/>
        <v>8.7912087912087912E-3</v>
      </c>
      <c r="X26" s="5">
        <f t="shared" si="5"/>
        <v>1.075268817204301E-2</v>
      </c>
      <c r="Y26" s="5">
        <f t="shared" si="6"/>
        <v>1.5151515151515154E-2</v>
      </c>
      <c r="Z26" s="5">
        <f t="shared" si="7"/>
        <v>1.8348623853211007E-2</v>
      </c>
      <c r="AA26" s="5">
        <f t="shared" si="8"/>
        <v>0.67045454545454541</v>
      </c>
      <c r="AB26" s="5">
        <f t="shared" si="9"/>
        <v>2.66</v>
      </c>
      <c r="AC26" s="27">
        <f t="shared" si="10"/>
        <v>292979.99999999994</v>
      </c>
      <c r="AD26" s="23">
        <v>38</v>
      </c>
      <c r="AE26" s="23">
        <v>152</v>
      </c>
      <c r="AF26" s="23">
        <v>38</v>
      </c>
      <c r="AG26" s="23">
        <v>380</v>
      </c>
      <c r="AH26" s="23">
        <v>228</v>
      </c>
      <c r="AI26" s="23">
        <v>2242</v>
      </c>
      <c r="AJ26" s="27">
        <f t="shared" si="11"/>
        <v>202160</v>
      </c>
      <c r="AK26" s="28"/>
      <c r="AL26" s="3"/>
      <c r="AM26" s="3"/>
      <c r="AN26" s="3"/>
      <c r="AO26" s="3"/>
      <c r="AP26" s="3"/>
      <c r="AQ26" s="3"/>
      <c r="AR26" s="3"/>
    </row>
    <row r="27" spans="1:44">
      <c r="A27" t="s">
        <v>151</v>
      </c>
      <c r="B27" s="5" t="s">
        <v>53</v>
      </c>
      <c r="C27" s="5">
        <v>356</v>
      </c>
      <c r="D27" s="5" t="s">
        <v>75</v>
      </c>
      <c r="E27">
        <v>126.8</v>
      </c>
      <c r="F27" s="2">
        <v>0.01</v>
      </c>
      <c r="G27" s="2">
        <v>0.04</v>
      </c>
      <c r="H27" s="2">
        <v>0.01</v>
      </c>
      <c r="I27" s="2">
        <v>0.1</v>
      </c>
      <c r="J27" s="2">
        <v>0.06</v>
      </c>
      <c r="K27">
        <v>0.47</v>
      </c>
      <c r="L27">
        <v>66.599999999999994</v>
      </c>
      <c r="M27">
        <v>500</v>
      </c>
      <c r="N27" t="s">
        <v>166</v>
      </c>
      <c r="O27" s="1"/>
      <c r="P27" t="s">
        <v>159</v>
      </c>
      <c r="Q27" s="1"/>
      <c r="R27" s="1"/>
      <c r="S27" s="3"/>
      <c r="T27" s="3"/>
      <c r="U27" s="5">
        <f t="shared" si="2"/>
        <v>6.8172043010752692E-2</v>
      </c>
      <c r="V27" s="5">
        <f t="shared" si="3"/>
        <v>3.1249999999999997E-3</v>
      </c>
      <c r="W27" s="5">
        <f t="shared" si="4"/>
        <v>8.7912087912087912E-3</v>
      </c>
      <c r="X27" s="5">
        <f t="shared" si="5"/>
        <v>1.075268817204301E-2</v>
      </c>
      <c r="Y27" s="5">
        <f t="shared" si="6"/>
        <v>1.5151515151515154E-2</v>
      </c>
      <c r="Z27" s="5">
        <f t="shared" si="7"/>
        <v>1.8348623853211007E-2</v>
      </c>
      <c r="AA27" s="5">
        <f t="shared" si="8"/>
        <v>0.53409090909090906</v>
      </c>
      <c r="AB27" s="5">
        <f t="shared" si="9"/>
        <v>3.3299999999999996</v>
      </c>
      <c r="AC27" s="27">
        <f t="shared" si="10"/>
        <v>96368</v>
      </c>
      <c r="AD27" s="23">
        <v>7.6</v>
      </c>
      <c r="AE27" s="23">
        <v>30.4</v>
      </c>
      <c r="AF27" s="23">
        <v>7.6</v>
      </c>
      <c r="AG27" s="23">
        <v>76</v>
      </c>
      <c r="AH27" s="23">
        <v>45.6</v>
      </c>
      <c r="AI27" s="23">
        <v>357.2</v>
      </c>
      <c r="AJ27" s="27">
        <f t="shared" si="11"/>
        <v>50615.999999999993</v>
      </c>
      <c r="AK27" s="28"/>
      <c r="AL27" s="3"/>
      <c r="AM27" s="3"/>
      <c r="AN27" s="3"/>
      <c r="AO27" s="3"/>
      <c r="AP27" s="3"/>
      <c r="AQ27" s="3"/>
      <c r="AR27" s="3"/>
    </row>
    <row r="28" spans="1:44">
      <c r="A28" t="s">
        <v>152</v>
      </c>
      <c r="B28" s="5" t="s">
        <v>53</v>
      </c>
      <c r="C28" s="5">
        <v>365.2</v>
      </c>
      <c r="D28" s="5" t="s">
        <v>75</v>
      </c>
      <c r="E28">
        <v>312.8</v>
      </c>
      <c r="F28">
        <v>0.02</v>
      </c>
      <c r="G28" s="2">
        <v>0.04</v>
      </c>
      <c r="H28" s="2">
        <v>0.01</v>
      </c>
      <c r="I28">
        <v>0.33</v>
      </c>
      <c r="J28">
        <v>0.45</v>
      </c>
      <c r="K28">
        <v>0.46</v>
      </c>
      <c r="L28">
        <v>47.8</v>
      </c>
      <c r="M28">
        <v>100</v>
      </c>
      <c r="N28" t="s">
        <v>166</v>
      </c>
      <c r="O28" s="1"/>
      <c r="P28">
        <v>0.01</v>
      </c>
      <c r="Q28" s="1"/>
      <c r="R28" s="1"/>
      <c r="S28" s="3">
        <f t="shared" si="0"/>
        <v>6.5439330543933059</v>
      </c>
      <c r="T28" s="3">
        <f t="shared" si="1"/>
        <v>22.5</v>
      </c>
      <c r="U28" s="5">
        <f t="shared" si="2"/>
        <v>0.1681720430107527</v>
      </c>
      <c r="V28" s="5">
        <f t="shared" si="3"/>
        <v>6.2499999999999995E-3</v>
      </c>
      <c r="W28" s="5">
        <f t="shared" si="4"/>
        <v>8.7912087912087912E-3</v>
      </c>
      <c r="X28" s="5">
        <f t="shared" si="5"/>
        <v>1.075268817204301E-2</v>
      </c>
      <c r="Y28" s="5">
        <f t="shared" si="6"/>
        <v>0.05</v>
      </c>
      <c r="Z28" s="5">
        <f t="shared" si="7"/>
        <v>0.13761467889908258</v>
      </c>
      <c r="AA28" s="5">
        <f t="shared" si="8"/>
        <v>0.52272727272727271</v>
      </c>
      <c r="AB28" s="5">
        <f t="shared" si="9"/>
        <v>2.3899999999999997</v>
      </c>
      <c r="AC28" s="27">
        <f t="shared" si="10"/>
        <v>1188640</v>
      </c>
      <c r="AD28" s="23">
        <v>76</v>
      </c>
      <c r="AE28" s="23">
        <v>152</v>
      </c>
      <c r="AF28" s="23">
        <v>38</v>
      </c>
      <c r="AG28" s="23">
        <v>1254</v>
      </c>
      <c r="AH28" s="23">
        <v>1710</v>
      </c>
      <c r="AI28" s="23">
        <v>1748</v>
      </c>
      <c r="AJ28" s="27">
        <f t="shared" si="11"/>
        <v>181640</v>
      </c>
      <c r="AK28" s="28"/>
      <c r="AL28" s="3"/>
      <c r="AM28" s="3"/>
      <c r="AN28" s="3"/>
      <c r="AO28" s="3"/>
      <c r="AP28" s="3"/>
      <c r="AQ28" s="3"/>
      <c r="AR28" s="3"/>
    </row>
    <row r="29" spans="1:44">
      <c r="A29" t="s">
        <v>153</v>
      </c>
      <c r="B29" s="5" t="s">
        <v>53</v>
      </c>
      <c r="C29" s="5">
        <v>368.86</v>
      </c>
      <c r="D29" s="5" t="s">
        <v>75</v>
      </c>
      <c r="E29">
        <v>537.4</v>
      </c>
      <c r="F29">
        <v>0.02</v>
      </c>
      <c r="G29" s="2">
        <v>0.04</v>
      </c>
      <c r="H29" s="2">
        <v>0.01</v>
      </c>
      <c r="I29">
        <v>0.19</v>
      </c>
      <c r="J29">
        <v>0.23</v>
      </c>
      <c r="K29">
        <v>0.41</v>
      </c>
      <c r="L29">
        <v>2.8</v>
      </c>
      <c r="M29" s="2">
        <v>50</v>
      </c>
      <c r="N29" t="s">
        <v>166</v>
      </c>
      <c r="O29" s="1"/>
      <c r="P29">
        <v>0.01</v>
      </c>
      <c r="Q29" s="1"/>
      <c r="R29" s="1"/>
      <c r="S29" s="3">
        <f t="shared" si="0"/>
        <v>191.92857142857144</v>
      </c>
      <c r="T29" s="3">
        <f t="shared" si="1"/>
        <v>11.5</v>
      </c>
      <c r="U29" s="5">
        <f t="shared" si="2"/>
        <v>0.28892473118279571</v>
      </c>
      <c r="V29" s="5">
        <f t="shared" si="3"/>
        <v>6.2499999999999995E-3</v>
      </c>
      <c r="W29" s="5">
        <f t="shared" si="4"/>
        <v>8.7912087912087912E-3</v>
      </c>
      <c r="X29" s="5">
        <f t="shared" si="5"/>
        <v>1.075268817204301E-2</v>
      </c>
      <c r="Y29" s="5">
        <f t="shared" si="6"/>
        <v>2.8787878787878789E-2</v>
      </c>
      <c r="Z29" s="5">
        <f t="shared" si="7"/>
        <v>7.0336391437308868E-2</v>
      </c>
      <c r="AA29" s="5">
        <f t="shared" si="8"/>
        <v>0.46590909090909088</v>
      </c>
      <c r="AB29" s="5">
        <f t="shared" si="9"/>
        <v>0.13999999999999999</v>
      </c>
      <c r="AC29" s="27">
        <f t="shared" si="10"/>
        <v>4084240</v>
      </c>
      <c r="AD29" s="23">
        <v>152</v>
      </c>
      <c r="AE29" s="23">
        <v>304</v>
      </c>
      <c r="AF29" s="23">
        <v>76</v>
      </c>
      <c r="AG29" s="23">
        <v>1444</v>
      </c>
      <c r="AH29" s="23">
        <v>1748</v>
      </c>
      <c r="AI29" s="23">
        <v>3116</v>
      </c>
      <c r="AJ29" s="27">
        <f t="shared" si="11"/>
        <v>21280</v>
      </c>
      <c r="AK29" s="28"/>
      <c r="AL29" s="3"/>
      <c r="AM29" s="3"/>
      <c r="AN29" s="3"/>
      <c r="AO29" s="3"/>
      <c r="AP29" s="3"/>
      <c r="AQ29" s="3"/>
      <c r="AR29" s="3"/>
    </row>
    <row r="30" spans="1:44">
      <c r="A30" t="s">
        <v>154</v>
      </c>
      <c r="B30" s="5" t="s">
        <v>53</v>
      </c>
      <c r="C30" s="5">
        <v>381.3</v>
      </c>
      <c r="D30" s="5" t="s">
        <v>75</v>
      </c>
      <c r="E30">
        <v>2059.8000000000002</v>
      </c>
      <c r="F30">
        <v>1.24</v>
      </c>
      <c r="G30" s="2">
        <v>4.8499999999999996</v>
      </c>
      <c r="H30">
        <v>1.7</v>
      </c>
      <c r="I30">
        <v>23.9</v>
      </c>
      <c r="J30">
        <v>74.2</v>
      </c>
      <c r="K30">
        <v>1.73</v>
      </c>
      <c r="L30">
        <v>507.2</v>
      </c>
      <c r="M30">
        <v>1400</v>
      </c>
      <c r="N30">
        <v>1.1000000000000001</v>
      </c>
      <c r="O30" s="1">
        <f>M30/N30</f>
        <v>1272.7272727272725</v>
      </c>
      <c r="P30">
        <v>0.19</v>
      </c>
      <c r="Q30" s="1"/>
      <c r="R30" s="1"/>
      <c r="S30" s="3">
        <f t="shared" si="0"/>
        <v>4.0611198738170353</v>
      </c>
      <c r="T30" s="3">
        <f t="shared" si="1"/>
        <v>59.838709677419359</v>
      </c>
      <c r="U30" s="7">
        <f t="shared" si="2"/>
        <v>1.1074193548387097</v>
      </c>
      <c r="V30" s="7">
        <f t="shared" si="3"/>
        <v>0.38749999999999996</v>
      </c>
      <c r="W30" s="7">
        <f t="shared" si="4"/>
        <v>1.0659340659340659</v>
      </c>
      <c r="X30" s="7">
        <f t="shared" si="5"/>
        <v>1.8279569892473118</v>
      </c>
      <c r="Y30" s="7">
        <f t="shared" si="6"/>
        <v>3.6212121212121211</v>
      </c>
      <c r="Z30" s="7">
        <f t="shared" si="7"/>
        <v>22.691131498470948</v>
      </c>
      <c r="AA30" s="7">
        <f t="shared" si="8"/>
        <v>1.9659090909090908</v>
      </c>
      <c r="AB30" s="7">
        <f t="shared" si="9"/>
        <v>25.36</v>
      </c>
      <c r="AC30" s="27">
        <f t="shared" si="10"/>
        <v>559088.57142857148</v>
      </c>
      <c r="AD30" s="23">
        <v>336.57142857142856</v>
      </c>
      <c r="AE30" s="23">
        <v>1316.4285714285713</v>
      </c>
      <c r="AF30" s="23">
        <v>461.42857142857144</v>
      </c>
      <c r="AG30" s="23">
        <v>6487.1428571428569</v>
      </c>
      <c r="AH30" s="23">
        <v>20140</v>
      </c>
      <c r="AI30" s="23">
        <v>469.57142857142856</v>
      </c>
      <c r="AJ30" s="27">
        <f t="shared" si="11"/>
        <v>137668.57142857142</v>
      </c>
      <c r="AK30" s="28"/>
      <c r="AL30" s="3"/>
      <c r="AM30" s="3"/>
      <c r="AN30" s="3"/>
      <c r="AO30" s="3"/>
      <c r="AP30" s="3"/>
      <c r="AQ30" s="3"/>
      <c r="AR30" s="3"/>
    </row>
    <row r="31" spans="1:44">
      <c r="A31" s="8" t="s">
        <v>155</v>
      </c>
      <c r="B31" s="11" t="s">
        <v>64</v>
      </c>
      <c r="C31" s="8">
        <v>121.8</v>
      </c>
      <c r="D31" s="8" t="s">
        <v>73</v>
      </c>
      <c r="E31" s="8">
        <v>290.8</v>
      </c>
      <c r="F31" s="8">
        <v>0.02</v>
      </c>
      <c r="G31" s="9">
        <v>0.04</v>
      </c>
      <c r="H31" s="8">
        <v>0.24</v>
      </c>
      <c r="I31" s="8">
        <v>0.22</v>
      </c>
      <c r="J31" s="8">
        <v>0.21</v>
      </c>
      <c r="K31" s="8">
        <v>2.37</v>
      </c>
      <c r="L31" s="8">
        <v>96.6</v>
      </c>
      <c r="M31" s="8">
        <v>700</v>
      </c>
      <c r="N31" s="8" t="s">
        <v>166</v>
      </c>
      <c r="O31" s="10"/>
      <c r="P31" s="8">
        <v>0.02</v>
      </c>
      <c r="Q31" s="1"/>
      <c r="R31" s="1"/>
      <c r="S31" s="3">
        <f t="shared" si="0"/>
        <v>3.0103519668737064</v>
      </c>
      <c r="T31" s="3">
        <f t="shared" si="1"/>
        <v>10.5</v>
      </c>
      <c r="U31" s="5">
        <f t="shared" si="2"/>
        <v>0.15634408602150537</v>
      </c>
      <c r="V31" s="5">
        <f t="shared" si="3"/>
        <v>6.2499999999999995E-3</v>
      </c>
      <c r="W31" s="5">
        <f t="shared" si="4"/>
        <v>8.7912087912087912E-3</v>
      </c>
      <c r="X31" s="5">
        <f t="shared" si="5"/>
        <v>0.25806451612903225</v>
      </c>
      <c r="Y31" s="5">
        <f t="shared" si="6"/>
        <v>3.3333333333333333E-2</v>
      </c>
      <c r="Z31" s="5">
        <f t="shared" si="7"/>
        <v>6.4220183486238536E-2</v>
      </c>
      <c r="AA31" s="5">
        <f t="shared" si="8"/>
        <v>2.6931818181818183</v>
      </c>
      <c r="AB31" s="5">
        <f t="shared" si="9"/>
        <v>4.83</v>
      </c>
      <c r="AC31" s="27">
        <f t="shared" si="10"/>
        <v>157862.85714285713</v>
      </c>
      <c r="AD31" s="23">
        <v>10.857142857142858</v>
      </c>
      <c r="AE31" s="23">
        <v>21.714285714285715</v>
      </c>
      <c r="AF31" s="23">
        <v>130.28571428571428</v>
      </c>
      <c r="AG31" s="23">
        <v>119.42857142857143</v>
      </c>
      <c r="AH31" s="23">
        <v>114</v>
      </c>
      <c r="AI31" s="23">
        <v>1286.5714285714287</v>
      </c>
      <c r="AJ31" s="27">
        <f t="shared" si="11"/>
        <v>52440</v>
      </c>
      <c r="AK31" s="28"/>
      <c r="AL31" s="3"/>
      <c r="AM31" s="3"/>
      <c r="AN31" s="3"/>
      <c r="AO31" s="3"/>
      <c r="AP31" s="3"/>
      <c r="AQ31" s="3"/>
      <c r="AR31" s="3"/>
    </row>
    <row r="32" spans="1:44" s="25" customFormat="1">
      <c r="A32" s="25" t="s">
        <v>156</v>
      </c>
      <c r="B32" s="29" t="s">
        <v>64</v>
      </c>
      <c r="C32" s="25">
        <v>123.35</v>
      </c>
      <c r="D32" s="25" t="s">
        <v>73</v>
      </c>
      <c r="E32" s="25">
        <v>20300</v>
      </c>
      <c r="F32" s="25">
        <v>26.3</v>
      </c>
      <c r="G32" s="25">
        <v>50.7</v>
      </c>
      <c r="H32" s="25">
        <v>13.5</v>
      </c>
      <c r="I32" s="25">
        <v>238</v>
      </c>
      <c r="J32" s="25">
        <v>322</v>
      </c>
      <c r="K32" s="25">
        <v>156</v>
      </c>
      <c r="L32" s="26">
        <v>12103</v>
      </c>
      <c r="M32" s="25">
        <v>68300</v>
      </c>
      <c r="N32" s="25">
        <v>29.1</v>
      </c>
      <c r="O32" s="27">
        <f>M32/N32</f>
        <v>2347.0790378006873</v>
      </c>
      <c r="P32" s="25">
        <v>2.06</v>
      </c>
      <c r="Q32" s="27">
        <v>460190.11406844103</v>
      </c>
      <c r="R32" s="27">
        <v>63043.478260869568</v>
      </c>
      <c r="S32" s="3">
        <f t="shared" si="0"/>
        <v>1.67727009832273</v>
      </c>
      <c r="T32" s="3">
        <f t="shared" si="1"/>
        <v>12.243346007604563</v>
      </c>
      <c r="U32" s="25">
        <f t="shared" si="2"/>
        <v>10.913978494623656</v>
      </c>
      <c r="V32" s="25">
        <f t="shared" si="3"/>
        <v>8.21875</v>
      </c>
      <c r="W32" s="25">
        <f t="shared" si="4"/>
        <v>11.142857142857144</v>
      </c>
      <c r="X32" s="25">
        <f t="shared" si="5"/>
        <v>14.516129032258064</v>
      </c>
      <c r="Y32" s="25">
        <f t="shared" si="6"/>
        <v>36.060606060606062</v>
      </c>
      <c r="Z32" s="25">
        <f t="shared" si="7"/>
        <v>98.470948012232412</v>
      </c>
      <c r="AA32" s="25">
        <f t="shared" si="8"/>
        <v>177.27272727272728</v>
      </c>
      <c r="AB32" s="25">
        <f t="shared" si="9"/>
        <v>605.15</v>
      </c>
      <c r="AC32" s="27">
        <f t="shared" si="10"/>
        <v>112942.89897510981</v>
      </c>
      <c r="AD32" s="28">
        <v>146.32503660322109</v>
      </c>
      <c r="AE32" s="28">
        <v>282.07906295754026</v>
      </c>
      <c r="AF32" s="28">
        <v>75.10980966325036</v>
      </c>
      <c r="AG32" s="28">
        <v>1324.1581259150805</v>
      </c>
      <c r="AH32" s="28">
        <v>1791.5080527086384</v>
      </c>
      <c r="AI32" s="28">
        <v>867.93557833089312</v>
      </c>
      <c r="AJ32" s="27">
        <f t="shared" si="11"/>
        <v>67337.33528550512</v>
      </c>
      <c r="AK32" s="28">
        <f>AC32/10770</f>
        <v>10.486805847271105</v>
      </c>
      <c r="AL32" s="28">
        <f>AD32/480</f>
        <v>0.30484382625671064</v>
      </c>
      <c r="AM32" s="28">
        <f>AE32/683</f>
        <v>0.41300009217795058</v>
      </c>
      <c r="AN32" s="28">
        <f>AF32/140</f>
        <v>0.5364986404517883</v>
      </c>
      <c r="AO32" s="28">
        <f>AG32/982</f>
        <v>1.3484298634573122</v>
      </c>
      <c r="AP32" s="28">
        <f>AH32/556</f>
        <v>3.2221367854471912</v>
      </c>
      <c r="AQ32" s="28">
        <f>AI32/148</f>
        <v>5.8644295833168458</v>
      </c>
      <c r="AR32" s="28">
        <f>AJ32/131</f>
        <v>514.0254601946956</v>
      </c>
    </row>
    <row r="33" spans="1:44">
      <c r="A33" t="s">
        <v>157</v>
      </c>
      <c r="B33" s="6" t="s">
        <v>64</v>
      </c>
      <c r="C33" s="5">
        <v>126.4</v>
      </c>
      <c r="D33" s="5" t="s">
        <v>73</v>
      </c>
      <c r="E33">
        <v>2102.5</v>
      </c>
      <c r="F33">
        <v>0.13</v>
      </c>
      <c r="G33" s="2">
        <v>0.04</v>
      </c>
      <c r="H33">
        <v>0.11</v>
      </c>
      <c r="I33">
        <v>99.5</v>
      </c>
      <c r="J33">
        <v>57.4</v>
      </c>
      <c r="K33">
        <v>19.5</v>
      </c>
      <c r="L33" s="2">
        <v>5698</v>
      </c>
      <c r="M33">
        <v>6900</v>
      </c>
      <c r="N33">
        <v>3.4</v>
      </c>
      <c r="O33" s="1">
        <f>M33/N33</f>
        <v>2029.4117647058824</v>
      </c>
      <c r="P33">
        <v>1.42</v>
      </c>
      <c r="Q33" s="1"/>
      <c r="R33" s="1"/>
      <c r="S33" s="3">
        <f t="shared" si="0"/>
        <v>0.36898911898911901</v>
      </c>
      <c r="T33" s="3">
        <f t="shared" si="1"/>
        <v>441.53846153846149</v>
      </c>
      <c r="U33" s="7">
        <f t="shared" si="2"/>
        <v>1.1303763440860215</v>
      </c>
      <c r="V33" s="7">
        <f t="shared" si="3"/>
        <v>4.0625000000000001E-2</v>
      </c>
      <c r="W33" s="7">
        <f t="shared" si="4"/>
        <v>8.7912087912087912E-3</v>
      </c>
      <c r="X33" s="7">
        <f t="shared" si="5"/>
        <v>0.11827956989247311</v>
      </c>
      <c r="Y33" s="7">
        <f t="shared" si="6"/>
        <v>15.075757575757576</v>
      </c>
      <c r="Z33" s="7">
        <f t="shared" si="7"/>
        <v>17.553516819571865</v>
      </c>
      <c r="AA33" s="7">
        <f t="shared" si="8"/>
        <v>22.15909090909091</v>
      </c>
      <c r="AB33" s="7">
        <f t="shared" si="9"/>
        <v>284.89999999999998</v>
      </c>
      <c r="AC33" s="27">
        <f t="shared" si="10"/>
        <v>115789.85507246378</v>
      </c>
      <c r="AD33" s="23">
        <v>7.1594202898550723</v>
      </c>
      <c r="AE33" s="23">
        <v>2.2028985507246377</v>
      </c>
      <c r="AF33" s="23">
        <v>6.0579710144927539</v>
      </c>
      <c r="AG33" s="23">
        <v>5479.710144927536</v>
      </c>
      <c r="AH33" s="23">
        <v>3161.159420289855</v>
      </c>
      <c r="AI33" s="23">
        <v>1073.9130434782608</v>
      </c>
      <c r="AJ33" s="27">
        <f t="shared" si="11"/>
        <v>313802.89855072461</v>
      </c>
      <c r="AK33" s="28"/>
      <c r="AL33" s="28"/>
      <c r="AM33" s="28"/>
      <c r="AN33" s="28"/>
      <c r="AO33" s="28"/>
      <c r="AP33" s="28"/>
      <c r="AQ33" s="28"/>
      <c r="AR33" s="28"/>
    </row>
    <row r="34" spans="1:44">
      <c r="A34" t="s">
        <v>158</v>
      </c>
      <c r="B34" s="6" t="s">
        <v>64</v>
      </c>
      <c r="C34" s="5">
        <v>127.7</v>
      </c>
      <c r="D34" s="5" t="s">
        <v>73</v>
      </c>
      <c r="E34">
        <v>395.7</v>
      </c>
      <c r="F34">
        <v>0.04</v>
      </c>
      <c r="G34" s="2">
        <v>0.04</v>
      </c>
      <c r="H34" s="2">
        <v>0.01</v>
      </c>
      <c r="I34">
        <v>0.55000000000000004</v>
      </c>
      <c r="J34">
        <v>0.61</v>
      </c>
      <c r="K34" s="2">
        <v>0.12</v>
      </c>
      <c r="L34">
        <v>122.7</v>
      </c>
      <c r="M34">
        <v>600</v>
      </c>
      <c r="N34">
        <v>0.5</v>
      </c>
      <c r="O34" s="1">
        <f>M34/N34</f>
        <v>1200</v>
      </c>
      <c r="P34">
        <v>0.02</v>
      </c>
      <c r="Q34" s="1"/>
      <c r="R34" s="1"/>
      <c r="S34" s="3">
        <f t="shared" si="0"/>
        <v>3.2249388753056234</v>
      </c>
      <c r="T34" s="3">
        <f t="shared" si="1"/>
        <v>15.25</v>
      </c>
      <c r="U34" s="5">
        <f t="shared" si="2"/>
        <v>0.21274193548387096</v>
      </c>
      <c r="V34" s="5">
        <f t="shared" si="3"/>
        <v>1.2499999999999999E-2</v>
      </c>
      <c r="W34" s="5">
        <f t="shared" si="4"/>
        <v>8.7912087912087912E-3</v>
      </c>
      <c r="X34" s="5">
        <f t="shared" si="5"/>
        <v>1.075268817204301E-2</v>
      </c>
      <c r="Y34" s="5">
        <f t="shared" si="6"/>
        <v>8.3333333333333343E-2</v>
      </c>
      <c r="Z34" s="5">
        <f t="shared" si="7"/>
        <v>0.18654434250764526</v>
      </c>
      <c r="AA34" s="5">
        <f t="shared" si="8"/>
        <v>0.13636363636363635</v>
      </c>
      <c r="AB34" s="5">
        <f t="shared" si="9"/>
        <v>6.1349999999999998</v>
      </c>
      <c r="AC34" s="27">
        <f t="shared" si="10"/>
        <v>250610</v>
      </c>
      <c r="AD34" s="23">
        <v>25.333333333333332</v>
      </c>
      <c r="AE34" s="23">
        <v>25.333333333333332</v>
      </c>
      <c r="AF34" s="23">
        <v>6.333333333333333</v>
      </c>
      <c r="AG34" s="23">
        <v>348.33333333333337</v>
      </c>
      <c r="AH34" s="23">
        <v>386.33333333333331</v>
      </c>
      <c r="AI34" s="23">
        <v>76</v>
      </c>
      <c r="AJ34" s="27">
        <f t="shared" si="11"/>
        <v>77710</v>
      </c>
      <c r="AK34" s="28"/>
      <c r="AL34" s="28"/>
      <c r="AM34" s="28"/>
      <c r="AN34" s="28"/>
      <c r="AO34" s="28"/>
      <c r="AP34" s="28"/>
      <c r="AQ34" s="28"/>
      <c r="AR34" s="28"/>
    </row>
    <row r="35" spans="1:44">
      <c r="A35" t="s">
        <v>141</v>
      </c>
      <c r="B35" s="5" t="s">
        <v>53</v>
      </c>
      <c r="C35" s="5">
        <v>123.55</v>
      </c>
      <c r="D35" s="5" t="s">
        <v>72</v>
      </c>
      <c r="E35">
        <v>106.4</v>
      </c>
      <c r="F35">
        <v>0.11</v>
      </c>
      <c r="G35">
        <v>0.12</v>
      </c>
      <c r="H35">
        <v>0.1</v>
      </c>
      <c r="I35">
        <v>1.1299999999999999</v>
      </c>
      <c r="J35">
        <v>1.08</v>
      </c>
      <c r="K35">
        <v>0.62</v>
      </c>
      <c r="L35">
        <v>9.8000000000000007</v>
      </c>
      <c r="M35">
        <v>2200</v>
      </c>
      <c r="N35" t="s">
        <v>166</v>
      </c>
      <c r="O35" s="1"/>
      <c r="P35">
        <v>0.01</v>
      </c>
      <c r="Q35" s="1"/>
      <c r="R35" s="1"/>
      <c r="S35" s="3">
        <f>E35/L35</f>
        <v>10.857142857142858</v>
      </c>
      <c r="T35" s="3">
        <f t="shared" si="1"/>
        <v>9.8181818181818183</v>
      </c>
      <c r="U35" s="5">
        <f>E35/1860</f>
        <v>5.7204301075268818E-2</v>
      </c>
      <c r="V35" s="5">
        <f>F35/3.2</f>
        <v>3.4374999999999996E-2</v>
      </c>
      <c r="W35" s="5">
        <f>G35/4.55</f>
        <v>2.6373626373626374E-2</v>
      </c>
      <c r="X35" s="5">
        <f>H35/0.93</f>
        <v>0.10752688172043011</v>
      </c>
      <c r="Y35" s="5">
        <f>I35/6.6</f>
        <v>0.1712121212121212</v>
      </c>
      <c r="Z35" s="5">
        <f>J35/3.27</f>
        <v>0.33027522935779818</v>
      </c>
      <c r="AA35" s="5">
        <f>K35/0.88</f>
        <v>0.70454545454545459</v>
      </c>
      <c r="AB35" s="5">
        <f>L35/20</f>
        <v>0.49000000000000005</v>
      </c>
      <c r="AC35" s="27">
        <f>E35*380000/M35</f>
        <v>18378.18181818182</v>
      </c>
      <c r="AD35" s="23">
        <v>19</v>
      </c>
      <c r="AE35" s="23">
        <v>20.727272727272727</v>
      </c>
      <c r="AF35" s="23">
        <v>17.272727272727273</v>
      </c>
      <c r="AG35" s="23">
        <v>195.18181818181816</v>
      </c>
      <c r="AH35" s="23">
        <v>186.54545454545453</v>
      </c>
      <c r="AI35" s="23">
        <v>107.09090909090909</v>
      </c>
      <c r="AJ35" s="27">
        <f>L35*380000/M35</f>
        <v>1692.727272727273</v>
      </c>
      <c r="AK35" s="28"/>
      <c r="AL35" s="3"/>
      <c r="AM35" s="3"/>
      <c r="AN35" s="3"/>
      <c r="AO35" s="3"/>
      <c r="AP35" s="3"/>
      <c r="AQ35" s="3"/>
      <c r="AR35" s="3"/>
    </row>
    <row r="36" spans="1:44" ht="15">
      <c r="U36" s="22" t="s">
        <v>6</v>
      </c>
      <c r="V36" s="22" t="s">
        <v>45</v>
      </c>
      <c r="W36" s="22" t="s">
        <v>49</v>
      </c>
      <c r="X36" s="22" t="s">
        <v>48</v>
      </c>
      <c r="Y36" s="22" t="s">
        <v>47</v>
      </c>
      <c r="Z36" s="22" t="s">
        <v>46</v>
      </c>
      <c r="AA36" s="22" t="s">
        <v>44</v>
      </c>
      <c r="AB36" s="22" t="s">
        <v>177</v>
      </c>
      <c r="AC36"/>
      <c r="AD36"/>
      <c r="AJ36"/>
    </row>
    <row r="37" spans="1:44" ht="18">
      <c r="D37" s="16"/>
      <c r="E37" s="16" t="s">
        <v>6</v>
      </c>
      <c r="F37" t="s">
        <v>45</v>
      </c>
      <c r="G37" t="s">
        <v>49</v>
      </c>
      <c r="H37" t="s">
        <v>48</v>
      </c>
      <c r="I37" t="s">
        <v>47</v>
      </c>
      <c r="J37" t="s">
        <v>46</v>
      </c>
      <c r="K37" t="s">
        <v>44</v>
      </c>
      <c r="L37" s="17" t="s">
        <v>177</v>
      </c>
      <c r="M37" s="17" t="s">
        <v>161</v>
      </c>
      <c r="P37" s="1"/>
      <c r="U37" s="5">
        <v>0.21274193548387096</v>
      </c>
      <c r="V37" s="5">
        <v>1.2500000000000001E-2</v>
      </c>
      <c r="W37" s="5">
        <v>8.7912087912087912E-3</v>
      </c>
      <c r="X37" s="5">
        <v>1.075268817204301E-2</v>
      </c>
      <c r="Y37" s="5">
        <v>8.3333333333333343E-2</v>
      </c>
      <c r="Z37" s="5">
        <v>0.18654434250764526</v>
      </c>
      <c r="AA37" s="5">
        <v>0.13636363636363635</v>
      </c>
      <c r="AB37" s="5">
        <v>6.1349999999999998</v>
      </c>
      <c r="AC37"/>
      <c r="AD37"/>
      <c r="AJ37"/>
    </row>
    <row r="38" spans="1:44" ht="18">
      <c r="D38" s="16"/>
      <c r="E38" s="16"/>
      <c r="L38" s="17"/>
      <c r="M38" s="17"/>
      <c r="P38" s="1"/>
      <c r="AC38" s="1" t="s">
        <v>6</v>
      </c>
      <c r="AD38" t="s">
        <v>45</v>
      </c>
      <c r="AE38" t="s">
        <v>49</v>
      </c>
      <c r="AF38" t="s">
        <v>48</v>
      </c>
      <c r="AG38" t="s">
        <v>98</v>
      </c>
      <c r="AH38" t="s">
        <v>46</v>
      </c>
      <c r="AI38" t="s">
        <v>44</v>
      </c>
      <c r="AJ38" s="1" t="s">
        <v>177</v>
      </c>
    </row>
    <row r="39" spans="1:44" ht="18">
      <c r="D39" s="17" t="s">
        <v>100</v>
      </c>
      <c r="E39" s="17">
        <v>1860</v>
      </c>
      <c r="F39">
        <v>3.2</v>
      </c>
      <c r="G39">
        <v>4.55</v>
      </c>
      <c r="H39">
        <v>0.93</v>
      </c>
      <c r="I39">
        <v>6.6</v>
      </c>
      <c r="J39">
        <v>3.27</v>
      </c>
      <c r="K39">
        <v>0.88</v>
      </c>
      <c r="L39" s="17">
        <v>20</v>
      </c>
      <c r="M39" s="17">
        <v>200</v>
      </c>
      <c r="AD39"/>
    </row>
    <row r="40" spans="1:44">
      <c r="AC40" s="1">
        <v>10770</v>
      </c>
      <c r="AD40">
        <v>480</v>
      </c>
      <c r="AE40">
        <v>683</v>
      </c>
      <c r="AF40">
        <v>140</v>
      </c>
      <c r="AG40">
        <v>982</v>
      </c>
      <c r="AH40">
        <v>556</v>
      </c>
      <c r="AI40">
        <v>148</v>
      </c>
      <c r="AJ40" s="1">
        <v>131</v>
      </c>
    </row>
    <row r="42" spans="1:44">
      <c r="AC42" t="s">
        <v>6</v>
      </c>
      <c r="AD42" t="s">
        <v>45</v>
      </c>
      <c r="AE42" t="s">
        <v>49</v>
      </c>
      <c r="AF42" t="s">
        <v>48</v>
      </c>
      <c r="AG42" t="s">
        <v>47</v>
      </c>
      <c r="AH42" t="s">
        <v>46</v>
      </c>
      <c r="AI42" t="s">
        <v>44</v>
      </c>
      <c r="AJ42" t="s">
        <v>177</v>
      </c>
    </row>
    <row r="43" spans="1:44">
      <c r="AC43"/>
      <c r="AD43"/>
      <c r="AJ43"/>
      <c r="AK43" s="28">
        <f t="shared" ref="AK43:AK55" si="12">AC43/10770</f>
        <v>0</v>
      </c>
      <c r="AL43" s="28">
        <f t="shared" ref="AL43:AL55" si="13">AD43/480</f>
        <v>0</v>
      </c>
      <c r="AM43" s="28">
        <f t="shared" ref="AM43:AM55" si="14">AE43/683</f>
        <v>0</v>
      </c>
      <c r="AN43" s="28">
        <f t="shared" ref="AN43:AN55" si="15">AF43/140</f>
        <v>0</v>
      </c>
      <c r="AO43" s="28">
        <f t="shared" ref="AO43:AO55" si="16">AG43/982</f>
        <v>0</v>
      </c>
      <c r="AP43" s="28">
        <f t="shared" ref="AP43:AP55" si="17">AH43/556</f>
        <v>0</v>
      </c>
      <c r="AQ43" s="28">
        <f t="shared" ref="AQ43:AQ55" si="18">AI43/148</f>
        <v>0</v>
      </c>
      <c r="AR43" s="28">
        <f t="shared" ref="AR43:AR55" si="19">AJ43/131</f>
        <v>0</v>
      </c>
    </row>
    <row r="44" spans="1:44">
      <c r="Y44">
        <f>AC44*10000</f>
        <v>1271000000</v>
      </c>
      <c r="AB44" t="s">
        <v>107</v>
      </c>
      <c r="AC44">
        <v>127100</v>
      </c>
      <c r="AD44">
        <v>190</v>
      </c>
      <c r="AE44">
        <v>675</v>
      </c>
      <c r="AF44">
        <v>245</v>
      </c>
      <c r="AG44">
        <v>1553</v>
      </c>
      <c r="AH44">
        <v>1884</v>
      </c>
      <c r="AI44">
        <v>4453</v>
      </c>
      <c r="AJ44">
        <v>10000</v>
      </c>
      <c r="AK44" s="28">
        <f t="shared" si="12"/>
        <v>11.80129990714949</v>
      </c>
      <c r="AL44" s="28">
        <f t="shared" si="13"/>
        <v>0.39583333333333331</v>
      </c>
      <c r="AM44" s="28">
        <f t="shared" si="14"/>
        <v>0.98828696925329429</v>
      </c>
      <c r="AN44" s="28">
        <f t="shared" si="15"/>
        <v>1.75</v>
      </c>
      <c r="AO44" s="28">
        <f t="shared" si="16"/>
        <v>1.5814663951120163</v>
      </c>
      <c r="AP44" s="28">
        <f t="shared" si="17"/>
        <v>3.3884892086330933</v>
      </c>
      <c r="AQ44" s="28">
        <f t="shared" si="18"/>
        <v>30.087837837837839</v>
      </c>
      <c r="AR44" s="28">
        <f t="shared" si="19"/>
        <v>76.335877862595424</v>
      </c>
    </row>
    <row r="45" spans="1:44">
      <c r="Y45">
        <f t="shared" ref="Y45:Y56" si="20">AC45*10000</f>
        <v>1032000000</v>
      </c>
      <c r="AB45" t="s">
        <v>108</v>
      </c>
      <c r="AC45">
        <v>103200</v>
      </c>
      <c r="AD45">
        <v>209</v>
      </c>
      <c r="AE45">
        <v>1191</v>
      </c>
      <c r="AF45">
        <v>581</v>
      </c>
      <c r="AG45">
        <v>3238</v>
      </c>
      <c r="AH45">
        <v>6653</v>
      </c>
      <c r="AI45">
        <v>212</v>
      </c>
      <c r="AJ45">
        <v>28300</v>
      </c>
      <c r="AK45" s="28">
        <f t="shared" si="12"/>
        <v>9.5821727019498599</v>
      </c>
      <c r="AL45" s="28">
        <f t="shared" si="13"/>
        <v>0.43541666666666667</v>
      </c>
      <c r="AM45" s="28">
        <f t="shared" si="14"/>
        <v>1.7437774524158125</v>
      </c>
      <c r="AN45" s="28">
        <f t="shared" si="15"/>
        <v>4.1500000000000004</v>
      </c>
      <c r="AO45" s="28">
        <f t="shared" si="16"/>
        <v>3.2973523421588595</v>
      </c>
      <c r="AP45" s="28">
        <f t="shared" si="17"/>
        <v>11.965827338129497</v>
      </c>
      <c r="AQ45" s="28">
        <f t="shared" si="18"/>
        <v>1.4324324324324325</v>
      </c>
      <c r="AR45" s="28">
        <f t="shared" si="19"/>
        <v>216.03053435114504</v>
      </c>
    </row>
    <row r="46" spans="1:44">
      <c r="Y46">
        <f t="shared" si="20"/>
        <v>865000000</v>
      </c>
      <c r="AB46" t="s">
        <v>109</v>
      </c>
      <c r="AC46">
        <v>86500</v>
      </c>
      <c r="AD46">
        <v>113</v>
      </c>
      <c r="AE46">
        <v>248</v>
      </c>
      <c r="AF46">
        <v>159</v>
      </c>
      <c r="AG46">
        <v>346</v>
      </c>
      <c r="AH46">
        <v>1853</v>
      </c>
      <c r="AI46">
        <v>147</v>
      </c>
      <c r="AJ46">
        <v>4000</v>
      </c>
      <c r="AK46" s="28">
        <f t="shared" si="12"/>
        <v>8.0315691736304551</v>
      </c>
      <c r="AL46" s="28">
        <f t="shared" si="13"/>
        <v>0.23541666666666666</v>
      </c>
      <c r="AM46" s="28">
        <f t="shared" si="14"/>
        <v>0.36310395314787702</v>
      </c>
      <c r="AN46" s="28">
        <f t="shared" si="15"/>
        <v>1.1357142857142857</v>
      </c>
      <c r="AO46" s="28">
        <f t="shared" si="16"/>
        <v>0.35234215885947046</v>
      </c>
      <c r="AP46" s="28">
        <f t="shared" si="17"/>
        <v>3.3327338129496402</v>
      </c>
      <c r="AQ46" s="28">
        <f t="shared" si="18"/>
        <v>0.9932432432432432</v>
      </c>
      <c r="AR46" s="28">
        <f t="shared" si="19"/>
        <v>30.534351145038169</v>
      </c>
    </row>
    <row r="47" spans="1:44">
      <c r="Y47">
        <f t="shared" si="20"/>
        <v>435000000</v>
      </c>
      <c r="AB47" t="s">
        <v>110</v>
      </c>
      <c r="AC47">
        <v>43500</v>
      </c>
      <c r="AD47">
        <v>38</v>
      </c>
      <c r="AE47">
        <v>62</v>
      </c>
      <c r="AF47">
        <v>307</v>
      </c>
      <c r="AG47">
        <v>5211</v>
      </c>
      <c r="AH47">
        <v>19190</v>
      </c>
      <c r="AI47">
        <v>1944</v>
      </c>
      <c r="AJ47">
        <v>100200</v>
      </c>
      <c r="AK47" s="28">
        <f t="shared" si="12"/>
        <v>4.03899721448468</v>
      </c>
      <c r="AL47" s="28">
        <f t="shared" si="13"/>
        <v>7.9166666666666663E-2</v>
      </c>
      <c r="AM47" s="28">
        <f t="shared" si="14"/>
        <v>9.0775988286969256E-2</v>
      </c>
      <c r="AN47" s="28">
        <f t="shared" si="15"/>
        <v>2.1928571428571431</v>
      </c>
      <c r="AO47" s="28">
        <f t="shared" si="16"/>
        <v>5.3065173116089612</v>
      </c>
      <c r="AP47" s="28">
        <f t="shared" si="17"/>
        <v>34.514388489208635</v>
      </c>
      <c r="AQ47" s="28">
        <f t="shared" si="18"/>
        <v>13.135135135135135</v>
      </c>
      <c r="AR47" s="28">
        <f t="shared" si="19"/>
        <v>764.8854961832061</v>
      </c>
    </row>
    <row r="48" spans="1:44">
      <c r="Y48">
        <f t="shared" si="20"/>
        <v>384000000</v>
      </c>
      <c r="AB48" t="s">
        <v>111</v>
      </c>
      <c r="AC48">
        <v>38400</v>
      </c>
      <c r="AD48">
        <v>38</v>
      </c>
      <c r="AE48">
        <v>54</v>
      </c>
      <c r="AF48">
        <v>464</v>
      </c>
      <c r="AG48">
        <v>1801</v>
      </c>
      <c r="AH48">
        <v>8097</v>
      </c>
      <c r="AI48">
        <v>125</v>
      </c>
      <c r="AJ48">
        <v>48200</v>
      </c>
      <c r="AK48" s="28">
        <f t="shared" si="12"/>
        <v>3.5654596100278551</v>
      </c>
      <c r="AL48" s="28">
        <f t="shared" si="13"/>
        <v>7.9166666666666663E-2</v>
      </c>
      <c r="AM48" s="28">
        <f t="shared" si="14"/>
        <v>7.9062957540263545E-2</v>
      </c>
      <c r="AN48" s="28">
        <f t="shared" si="15"/>
        <v>3.3142857142857145</v>
      </c>
      <c r="AO48" s="28">
        <f t="shared" si="16"/>
        <v>1.8340122199592668</v>
      </c>
      <c r="AP48" s="28">
        <f t="shared" si="17"/>
        <v>14.562949640287769</v>
      </c>
      <c r="AQ48" s="28">
        <f t="shared" si="18"/>
        <v>0.84459459459459463</v>
      </c>
      <c r="AR48" s="28">
        <f t="shared" si="19"/>
        <v>367.93893129770993</v>
      </c>
    </row>
    <row r="49" spans="23:44">
      <c r="Y49">
        <f t="shared" si="20"/>
        <v>461000000</v>
      </c>
      <c r="AB49" t="s">
        <v>114</v>
      </c>
      <c r="AC49">
        <v>46100</v>
      </c>
      <c r="AD49">
        <v>132</v>
      </c>
      <c r="AE49">
        <v>201</v>
      </c>
      <c r="AF49">
        <v>289</v>
      </c>
      <c r="AG49">
        <v>1202</v>
      </c>
      <c r="AH49">
        <v>663</v>
      </c>
      <c r="AI49">
        <v>106</v>
      </c>
      <c r="AJ49">
        <v>16900</v>
      </c>
      <c r="AK49" s="28">
        <f t="shared" si="12"/>
        <v>4.280408542246982</v>
      </c>
      <c r="AL49" s="28">
        <f t="shared" si="13"/>
        <v>0.27500000000000002</v>
      </c>
      <c r="AM49" s="28">
        <f t="shared" si="14"/>
        <v>0.29428989751098095</v>
      </c>
      <c r="AN49" s="28">
        <f t="shared" si="15"/>
        <v>2.0642857142857145</v>
      </c>
      <c r="AO49" s="28">
        <f t="shared" si="16"/>
        <v>1.2240325865580448</v>
      </c>
      <c r="AP49" s="28">
        <f t="shared" si="17"/>
        <v>1.1924460431654675</v>
      </c>
      <c r="AQ49" s="28">
        <f t="shared" si="18"/>
        <v>0.71621621621621623</v>
      </c>
      <c r="AR49" s="28">
        <f t="shared" si="19"/>
        <v>129.00763358778627</v>
      </c>
    </row>
    <row r="50" spans="23:44">
      <c r="Y50">
        <f t="shared" si="20"/>
        <v>521000000</v>
      </c>
      <c r="AB50" t="s">
        <v>115</v>
      </c>
      <c r="AC50">
        <v>52100</v>
      </c>
      <c r="AD50">
        <v>24</v>
      </c>
      <c r="AE50">
        <v>40</v>
      </c>
      <c r="AF50">
        <v>77</v>
      </c>
      <c r="AG50">
        <v>525</v>
      </c>
      <c r="AH50">
        <v>424</v>
      </c>
      <c r="AI50">
        <v>26</v>
      </c>
      <c r="AJ50">
        <v>5000</v>
      </c>
      <c r="AK50" s="28">
        <f t="shared" si="12"/>
        <v>4.8375116063138348</v>
      </c>
      <c r="AL50" s="28">
        <f t="shared" si="13"/>
        <v>0.05</v>
      </c>
      <c r="AM50" s="28">
        <f t="shared" si="14"/>
        <v>5.8565153733528552E-2</v>
      </c>
      <c r="AN50" s="28">
        <f t="shared" si="15"/>
        <v>0.55000000000000004</v>
      </c>
      <c r="AO50" s="28">
        <f t="shared" si="16"/>
        <v>0.53462321792260692</v>
      </c>
      <c r="AP50" s="28">
        <f t="shared" si="17"/>
        <v>0.76258992805755399</v>
      </c>
      <c r="AQ50" s="28">
        <f t="shared" si="18"/>
        <v>0.17567567567567569</v>
      </c>
      <c r="AR50" s="28">
        <f t="shared" si="19"/>
        <v>38.167938931297712</v>
      </c>
    </row>
    <row r="51" spans="23:44">
      <c r="Y51">
        <f t="shared" si="20"/>
        <v>478000000</v>
      </c>
      <c r="AB51" t="s">
        <v>116</v>
      </c>
      <c r="AC51">
        <v>47800</v>
      </c>
      <c r="AD51">
        <v>2</v>
      </c>
      <c r="AE51">
        <v>39</v>
      </c>
      <c r="AF51">
        <v>3</v>
      </c>
      <c r="AG51">
        <v>16224</v>
      </c>
      <c r="AH51">
        <v>11518</v>
      </c>
      <c r="AI51">
        <v>2674</v>
      </c>
      <c r="AJ51">
        <v>355800</v>
      </c>
      <c r="AK51" s="28">
        <f t="shared" si="12"/>
        <v>4.4382544103992574</v>
      </c>
      <c r="AL51" s="28">
        <f t="shared" si="13"/>
        <v>4.1666666666666666E-3</v>
      </c>
      <c r="AM51" s="28">
        <f t="shared" si="14"/>
        <v>5.7101024890190338E-2</v>
      </c>
      <c r="AN51" s="28">
        <f t="shared" si="15"/>
        <v>2.1428571428571429E-2</v>
      </c>
      <c r="AO51" s="27">
        <f t="shared" si="16"/>
        <v>16.521384928716905</v>
      </c>
      <c r="AP51" s="27">
        <f t="shared" si="17"/>
        <v>20.715827338129497</v>
      </c>
      <c r="AQ51" s="27">
        <f t="shared" si="18"/>
        <v>18.067567567567568</v>
      </c>
      <c r="AR51" s="27">
        <f t="shared" si="19"/>
        <v>2716.030534351145</v>
      </c>
    </row>
    <row r="52" spans="23:44">
      <c r="Y52">
        <f t="shared" si="20"/>
        <v>1606000000</v>
      </c>
      <c r="AB52" t="s">
        <v>117</v>
      </c>
      <c r="AC52">
        <v>160600</v>
      </c>
      <c r="AD52">
        <v>5516</v>
      </c>
      <c r="AE52">
        <v>33236</v>
      </c>
      <c r="AF52">
        <v>14035</v>
      </c>
      <c r="AG52">
        <v>257513</v>
      </c>
      <c r="AH52">
        <v>97894</v>
      </c>
      <c r="AI52">
        <v>29466</v>
      </c>
      <c r="AJ52">
        <v>56600</v>
      </c>
      <c r="AK52" s="28">
        <f t="shared" si="12"/>
        <v>14.911792014856081</v>
      </c>
      <c r="AL52" s="28">
        <f t="shared" si="13"/>
        <v>11.491666666666667</v>
      </c>
      <c r="AM52" s="28">
        <f t="shared" si="14"/>
        <v>48.661786237188871</v>
      </c>
      <c r="AN52" s="28">
        <f t="shared" si="15"/>
        <v>100.25</v>
      </c>
      <c r="AO52" s="27">
        <f t="shared" si="16"/>
        <v>262.23319755600812</v>
      </c>
      <c r="AP52" s="27">
        <f t="shared" si="17"/>
        <v>176.068345323741</v>
      </c>
      <c r="AQ52" s="27">
        <f t="shared" si="18"/>
        <v>199.09459459459458</v>
      </c>
      <c r="AR52" s="27">
        <f t="shared" si="19"/>
        <v>432.06106870229007</v>
      </c>
    </row>
    <row r="53" spans="23:44">
      <c r="Y53">
        <v>778000000</v>
      </c>
      <c r="AB53" t="s">
        <v>113</v>
      </c>
      <c r="AC53" s="1">
        <v>77800</v>
      </c>
      <c r="AD53" s="3">
        <v>370</v>
      </c>
      <c r="AE53">
        <v>2337</v>
      </c>
      <c r="AF53">
        <v>1455</v>
      </c>
      <c r="AG53">
        <v>29031</v>
      </c>
      <c r="AH53">
        <v>32490</v>
      </c>
      <c r="AI53">
        <v>6857</v>
      </c>
      <c r="AJ53" s="1">
        <v>61100</v>
      </c>
      <c r="AK53" s="28">
        <f>AC53/10770</f>
        <v>7.2237697307335189</v>
      </c>
      <c r="AL53" s="28">
        <f>AD53/480</f>
        <v>0.77083333333333337</v>
      </c>
      <c r="AM53" s="28">
        <f>AE53/683</f>
        <v>3.4216691068814056</v>
      </c>
      <c r="AN53" s="28">
        <f>AF53/140</f>
        <v>10.392857142857142</v>
      </c>
      <c r="AO53" s="27">
        <f>AG53/982</f>
        <v>29.563136456211812</v>
      </c>
      <c r="AP53" s="27">
        <f>AH53/556</f>
        <v>58.435251798561154</v>
      </c>
      <c r="AQ53" s="27">
        <f>AI53/148</f>
        <v>46.331081081081081</v>
      </c>
      <c r="AR53" s="27">
        <f>AJ53/131</f>
        <v>466.41221374045801</v>
      </c>
    </row>
    <row r="54" spans="23:44">
      <c r="Y54">
        <f t="shared" si="20"/>
        <v>1320000000</v>
      </c>
      <c r="AB54" t="s">
        <v>118</v>
      </c>
      <c r="AC54">
        <v>132000</v>
      </c>
      <c r="AD54">
        <v>6000</v>
      </c>
      <c r="AE54">
        <v>1600</v>
      </c>
      <c r="AF54">
        <v>48000</v>
      </c>
      <c r="AG54">
        <v>1560000</v>
      </c>
      <c r="AH54">
        <v>5410000</v>
      </c>
      <c r="AI54">
        <v>200000</v>
      </c>
      <c r="AJ54">
        <v>64900</v>
      </c>
      <c r="AK54" s="28">
        <f t="shared" si="12"/>
        <v>12.256267409470752</v>
      </c>
      <c r="AL54" s="28">
        <f t="shared" si="13"/>
        <v>12.5</v>
      </c>
      <c r="AM54" s="28">
        <f t="shared" si="14"/>
        <v>2.3426061493411421</v>
      </c>
      <c r="AN54" s="28">
        <f t="shared" si="15"/>
        <v>342.85714285714283</v>
      </c>
      <c r="AO54" s="27">
        <f t="shared" si="16"/>
        <v>1588.5947046843178</v>
      </c>
      <c r="AP54" s="27">
        <f t="shared" si="17"/>
        <v>9730.2158273381301</v>
      </c>
      <c r="AQ54" s="27">
        <f t="shared" si="18"/>
        <v>1351.3513513513512</v>
      </c>
      <c r="AR54" s="27">
        <f t="shared" si="19"/>
        <v>495.41984732824426</v>
      </c>
    </row>
    <row r="55" spans="23:44">
      <c r="Y55">
        <f t="shared" si="20"/>
        <v>371000000</v>
      </c>
      <c r="AA55">
        <v>3.71</v>
      </c>
      <c r="AB55" t="s">
        <v>119</v>
      </c>
      <c r="AC55" s="1">
        <v>37100</v>
      </c>
      <c r="AD55" s="3">
        <v>3</v>
      </c>
      <c r="AE55">
        <v>20</v>
      </c>
      <c r="AF55">
        <v>11</v>
      </c>
      <c r="AG55">
        <v>94</v>
      </c>
      <c r="AH55">
        <v>180</v>
      </c>
      <c r="AI55">
        <v>72</v>
      </c>
      <c r="AJ55" s="1">
        <v>18700</v>
      </c>
      <c r="AK55" s="28">
        <f t="shared" si="12"/>
        <v>3.4447539461467036</v>
      </c>
      <c r="AL55" s="28">
        <f t="shared" si="13"/>
        <v>6.2500000000000003E-3</v>
      </c>
      <c r="AM55" s="28">
        <f t="shared" si="14"/>
        <v>2.9282576866764276E-2</v>
      </c>
      <c r="AN55" s="28">
        <f t="shared" si="15"/>
        <v>7.857142857142857E-2</v>
      </c>
      <c r="AO55" s="28">
        <f t="shared" si="16"/>
        <v>9.5723014256619138E-2</v>
      </c>
      <c r="AP55" s="28">
        <f t="shared" si="17"/>
        <v>0.32374100719424459</v>
      </c>
      <c r="AQ55" s="28">
        <f t="shared" si="18"/>
        <v>0.48648648648648651</v>
      </c>
      <c r="AR55" s="28">
        <f t="shared" si="19"/>
        <v>142.74809160305344</v>
      </c>
    </row>
    <row r="56" spans="23:44">
      <c r="Y56">
        <f t="shared" si="20"/>
        <v>778000000</v>
      </c>
      <c r="AB56" t="s">
        <v>113</v>
      </c>
      <c r="AC56" s="1">
        <v>77800</v>
      </c>
      <c r="AD56" s="3">
        <v>370</v>
      </c>
      <c r="AE56">
        <v>2337</v>
      </c>
      <c r="AF56">
        <v>1455</v>
      </c>
      <c r="AG56">
        <v>29031</v>
      </c>
      <c r="AH56">
        <v>32490</v>
      </c>
      <c r="AI56">
        <v>6857</v>
      </c>
      <c r="AJ56" s="1">
        <v>61100</v>
      </c>
      <c r="AK56" s="1" t="s">
        <v>6</v>
      </c>
      <c r="AL56" t="s">
        <v>45</v>
      </c>
      <c r="AM56" t="s">
        <v>49</v>
      </c>
      <c r="AN56" t="s">
        <v>48</v>
      </c>
      <c r="AO56" t="s">
        <v>47</v>
      </c>
      <c r="AP56" t="s">
        <v>46</v>
      </c>
      <c r="AQ56" t="s">
        <v>44</v>
      </c>
      <c r="AR56" s="1" t="s">
        <v>177</v>
      </c>
    </row>
    <row r="57" spans="23:44">
      <c r="AK57" s="28">
        <v>3.4447539461467036</v>
      </c>
      <c r="AL57" s="28">
        <v>6.2500000000000003E-3</v>
      </c>
      <c r="AM57" s="28">
        <v>2.9282576866764276E-2</v>
      </c>
      <c r="AN57" s="28">
        <v>7.857142857142857E-2</v>
      </c>
      <c r="AO57" s="28">
        <v>9.5723014256619138E-2</v>
      </c>
      <c r="AP57" s="28">
        <v>0.32374100719424459</v>
      </c>
      <c r="AQ57" s="28">
        <v>0.48648648648648651</v>
      </c>
      <c r="AR57" s="28">
        <v>142.74809160305344</v>
      </c>
    </row>
    <row r="58" spans="23:44">
      <c r="W58">
        <f>7.78*10000</f>
        <v>77800</v>
      </c>
    </row>
  </sheetData>
  <phoneticPr fontId="2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9" sqref="D9"/>
    </sheetView>
  </sheetViews>
  <sheetFormatPr baseColWidth="10" defaultRowHeight="13" x14ac:dyDescent="0"/>
  <cols>
    <col min="1" max="1" width="6.7109375" customWidth="1"/>
    <col min="2" max="2" width="7.85546875" customWidth="1"/>
    <col min="3" max="3" width="8.42578125" customWidth="1"/>
    <col min="5" max="5" width="6.5703125" customWidth="1"/>
    <col min="6" max="6" width="5.85546875" customWidth="1"/>
    <col min="7" max="7" width="7.28515625" customWidth="1"/>
    <col min="8" max="8" width="6.42578125" customWidth="1"/>
    <col min="9" max="9" width="7.85546875" customWidth="1"/>
    <col min="10" max="10" width="6.85546875" customWidth="1"/>
  </cols>
  <sheetData>
    <row r="1" spans="1:10">
      <c r="A1" t="s">
        <v>120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</row>
    <row r="2" spans="1:10">
      <c r="A2" t="s">
        <v>133</v>
      </c>
      <c r="E2" t="s">
        <v>50</v>
      </c>
      <c r="F2" t="s">
        <v>50</v>
      </c>
      <c r="G2" t="s">
        <v>50</v>
      </c>
      <c r="H2" t="s">
        <v>50</v>
      </c>
      <c r="I2" t="s">
        <v>50</v>
      </c>
      <c r="J2" t="s">
        <v>50</v>
      </c>
    </row>
    <row r="3" spans="1:10">
      <c r="A3" t="s">
        <v>135</v>
      </c>
      <c r="E3">
        <v>0.22</v>
      </c>
      <c r="F3">
        <v>0.01</v>
      </c>
      <c r="G3">
        <v>0.12</v>
      </c>
      <c r="H3">
        <v>0.17</v>
      </c>
      <c r="I3">
        <v>0.02</v>
      </c>
      <c r="J3">
        <v>0.08</v>
      </c>
    </row>
    <row r="5" spans="1:10">
      <c r="A5" t="s">
        <v>136</v>
      </c>
      <c r="B5" s="6" t="s">
        <v>51</v>
      </c>
      <c r="C5" s="5">
        <v>163.5</v>
      </c>
      <c r="D5" s="5" t="s">
        <v>52</v>
      </c>
      <c r="E5">
        <v>2.42</v>
      </c>
      <c r="F5" s="2">
        <v>0.01</v>
      </c>
      <c r="G5">
        <v>0.21</v>
      </c>
      <c r="H5">
        <v>0.26</v>
      </c>
      <c r="I5" s="2">
        <v>0.01</v>
      </c>
      <c r="J5" s="2">
        <v>0.04</v>
      </c>
    </row>
    <row r="6" spans="1:10">
      <c r="A6" t="s">
        <v>137</v>
      </c>
      <c r="B6" s="6" t="s">
        <v>51</v>
      </c>
      <c r="C6" s="5">
        <v>164.2</v>
      </c>
      <c r="D6" s="5" t="s">
        <v>52</v>
      </c>
      <c r="E6">
        <v>1.69</v>
      </c>
      <c r="F6">
        <v>0.02</v>
      </c>
      <c r="G6">
        <v>0.26</v>
      </c>
      <c r="H6">
        <v>0.2</v>
      </c>
      <c r="I6">
        <v>0.02</v>
      </c>
      <c r="J6" s="2">
        <v>0.04</v>
      </c>
    </row>
    <row r="7" spans="1:10">
      <c r="A7" t="s">
        <v>138</v>
      </c>
      <c r="B7" s="6" t="s">
        <v>51</v>
      </c>
      <c r="C7" s="5">
        <v>167.45</v>
      </c>
      <c r="D7" s="5" t="s">
        <v>52</v>
      </c>
      <c r="E7">
        <v>1.23</v>
      </c>
      <c r="F7" s="2">
        <v>0.01</v>
      </c>
      <c r="G7">
        <v>0.13</v>
      </c>
      <c r="H7" s="2">
        <v>0.1</v>
      </c>
      <c r="I7" s="2">
        <v>0.01</v>
      </c>
      <c r="J7" s="2">
        <v>0.04</v>
      </c>
    </row>
    <row r="8" spans="1:10">
      <c r="A8" t="s">
        <v>139</v>
      </c>
      <c r="B8" s="6" t="s">
        <v>51</v>
      </c>
      <c r="C8" s="5">
        <v>170.9</v>
      </c>
      <c r="D8" s="5" t="s">
        <v>52</v>
      </c>
      <c r="E8">
        <v>4.2</v>
      </c>
      <c r="F8">
        <v>0.22</v>
      </c>
      <c r="G8">
        <v>4.08</v>
      </c>
      <c r="H8">
        <v>2.59</v>
      </c>
      <c r="I8">
        <v>0.13</v>
      </c>
      <c r="J8">
        <v>0.4</v>
      </c>
    </row>
    <row r="9" spans="1:10">
      <c r="B9" s="5" t="s">
        <v>51</v>
      </c>
      <c r="C9" s="5">
        <v>174.25</v>
      </c>
      <c r="D9" s="5"/>
      <c r="E9">
        <v>459</v>
      </c>
      <c r="F9">
        <v>239</v>
      </c>
      <c r="G9">
        <v>582</v>
      </c>
      <c r="H9">
        <v>610</v>
      </c>
      <c r="I9">
        <v>112</v>
      </c>
      <c r="J9">
        <v>468</v>
      </c>
    </row>
    <row r="10" spans="1:10">
      <c r="B10" s="5" t="s">
        <v>51</v>
      </c>
      <c r="C10" s="5">
        <v>174.4</v>
      </c>
      <c r="D10" s="5"/>
      <c r="E10">
        <v>242</v>
      </c>
      <c r="F10">
        <v>70.900000000000006</v>
      </c>
      <c r="G10">
        <v>593</v>
      </c>
      <c r="H10">
        <v>961</v>
      </c>
      <c r="I10">
        <v>47.5</v>
      </c>
      <c r="J10">
        <v>104</v>
      </c>
    </row>
    <row r="11" spans="1:10">
      <c r="B11" s="5" t="s">
        <v>51</v>
      </c>
      <c r="C11" s="5">
        <v>174.5</v>
      </c>
      <c r="D11" s="5"/>
      <c r="E11">
        <v>241</v>
      </c>
      <c r="F11">
        <v>68.599999999999994</v>
      </c>
      <c r="G11">
        <v>729</v>
      </c>
      <c r="H11">
        <v>730</v>
      </c>
      <c r="I11">
        <v>46.2</v>
      </c>
      <c r="J11">
        <v>102</v>
      </c>
    </row>
    <row r="12" spans="1:10">
      <c r="A12" t="s">
        <v>140</v>
      </c>
      <c r="B12" s="5" t="s">
        <v>53</v>
      </c>
      <c r="C12" s="5">
        <v>128.55000000000001</v>
      </c>
      <c r="D12" s="5" t="s">
        <v>54</v>
      </c>
      <c r="E12">
        <v>0.49</v>
      </c>
      <c r="F12">
        <v>0.02</v>
      </c>
      <c r="G12">
        <v>0.27</v>
      </c>
      <c r="H12">
        <v>0.26</v>
      </c>
      <c r="I12" s="2">
        <v>0.01</v>
      </c>
      <c r="J12" s="2">
        <v>0.04</v>
      </c>
    </row>
    <row r="13" spans="1:10">
      <c r="A13" t="s">
        <v>141</v>
      </c>
      <c r="B13" s="5" t="s">
        <v>53</v>
      </c>
      <c r="C13" s="5">
        <v>123.55</v>
      </c>
      <c r="D13" s="5" t="s">
        <v>54</v>
      </c>
      <c r="E13">
        <v>0.62</v>
      </c>
      <c r="F13">
        <v>0.11</v>
      </c>
      <c r="G13">
        <v>1.08</v>
      </c>
      <c r="H13">
        <v>1.1299999999999999</v>
      </c>
      <c r="I13">
        <v>0.1</v>
      </c>
      <c r="J13">
        <v>0.12</v>
      </c>
    </row>
    <row r="14" spans="1:10">
      <c r="A14" t="s">
        <v>142</v>
      </c>
      <c r="B14" s="5" t="s">
        <v>53</v>
      </c>
      <c r="C14" s="5">
        <v>159</v>
      </c>
      <c r="D14" s="5" t="s">
        <v>55</v>
      </c>
      <c r="E14">
        <v>0.61</v>
      </c>
      <c r="F14">
        <v>0.08</v>
      </c>
      <c r="G14">
        <v>1.23</v>
      </c>
      <c r="H14">
        <v>1.04</v>
      </c>
      <c r="I14">
        <v>0.04</v>
      </c>
      <c r="J14" s="2">
        <v>0.04</v>
      </c>
    </row>
    <row r="15" spans="1:10">
      <c r="A15" t="s">
        <v>143</v>
      </c>
      <c r="B15" s="5" t="s">
        <v>53</v>
      </c>
      <c r="C15" s="5">
        <v>155.21</v>
      </c>
      <c r="D15" s="5" t="s">
        <v>55</v>
      </c>
      <c r="E15">
        <v>122</v>
      </c>
      <c r="F15">
        <v>25.6</v>
      </c>
      <c r="G15">
        <v>625</v>
      </c>
      <c r="H15">
        <v>308</v>
      </c>
      <c r="I15">
        <v>13.6</v>
      </c>
      <c r="J15">
        <v>44.7</v>
      </c>
    </row>
    <row r="16" spans="1:10">
      <c r="A16" t="s">
        <v>144</v>
      </c>
      <c r="B16" s="5" t="s">
        <v>53</v>
      </c>
      <c r="C16" s="5">
        <v>151.55000000000001</v>
      </c>
      <c r="D16" s="5" t="s">
        <v>55</v>
      </c>
      <c r="E16">
        <v>57.5</v>
      </c>
      <c r="F16">
        <v>6.3</v>
      </c>
      <c r="G16">
        <v>131</v>
      </c>
      <c r="H16">
        <v>96.1</v>
      </c>
      <c r="I16">
        <v>3.54</v>
      </c>
      <c r="J16">
        <v>11.7</v>
      </c>
    </row>
    <row r="17" spans="1:10">
      <c r="A17" t="s">
        <v>145</v>
      </c>
      <c r="B17" s="5" t="s">
        <v>53</v>
      </c>
      <c r="C17" s="5">
        <v>304</v>
      </c>
      <c r="D17" s="5" t="s">
        <v>56</v>
      </c>
      <c r="E17">
        <v>2.44</v>
      </c>
      <c r="F17">
        <v>0.02</v>
      </c>
      <c r="G17">
        <v>0.49</v>
      </c>
      <c r="H17">
        <v>0.48</v>
      </c>
      <c r="I17" s="2">
        <v>0.01</v>
      </c>
      <c r="J17" s="2">
        <v>0.04</v>
      </c>
    </row>
    <row r="18" spans="1:10">
      <c r="A18" t="s">
        <v>146</v>
      </c>
      <c r="B18" s="5" t="s">
        <v>53</v>
      </c>
      <c r="C18" s="5">
        <v>306.10000000000002</v>
      </c>
      <c r="D18" s="5" t="s">
        <v>56</v>
      </c>
      <c r="E18">
        <v>0.61</v>
      </c>
      <c r="F18">
        <v>7.0000000000000007E-2</v>
      </c>
      <c r="G18">
        <v>0.99</v>
      </c>
      <c r="H18">
        <v>0.92</v>
      </c>
      <c r="I18">
        <v>0.03</v>
      </c>
      <c r="J18" s="2">
        <v>0.04</v>
      </c>
    </row>
    <row r="19" spans="1:10">
      <c r="A19" t="s">
        <v>147</v>
      </c>
      <c r="B19" s="5" t="s">
        <v>53</v>
      </c>
      <c r="C19" s="5">
        <v>310.55</v>
      </c>
      <c r="D19" s="5" t="s">
        <v>56</v>
      </c>
      <c r="E19">
        <v>1.1399999999999999</v>
      </c>
      <c r="F19">
        <v>0.04</v>
      </c>
      <c r="G19">
        <v>0.73</v>
      </c>
      <c r="H19">
        <v>0.62</v>
      </c>
      <c r="I19">
        <v>0.02</v>
      </c>
      <c r="J19" s="2">
        <v>0.04</v>
      </c>
    </row>
    <row r="20" spans="1:10">
      <c r="A20" t="s">
        <v>148</v>
      </c>
      <c r="B20" s="5" t="s">
        <v>53</v>
      </c>
      <c r="C20" s="5">
        <v>323.3</v>
      </c>
      <c r="D20" s="5" t="s">
        <v>57</v>
      </c>
      <c r="E20">
        <v>0.56000000000000005</v>
      </c>
      <c r="F20">
        <v>0.02</v>
      </c>
      <c r="G20">
        <v>4.79</v>
      </c>
      <c r="H20">
        <v>0.39</v>
      </c>
      <c r="I20" s="2">
        <v>0.01</v>
      </c>
      <c r="J20" s="2">
        <v>0.04</v>
      </c>
    </row>
    <row r="21" spans="1:10">
      <c r="A21" t="s">
        <v>149</v>
      </c>
      <c r="B21" s="5" t="s">
        <v>53</v>
      </c>
      <c r="C21" s="5" t="s">
        <v>58</v>
      </c>
      <c r="D21" s="5" t="s">
        <v>57</v>
      </c>
      <c r="E21">
        <v>0.9</v>
      </c>
      <c r="F21" s="2">
        <v>0.01</v>
      </c>
      <c r="G21" s="2">
        <v>0.06</v>
      </c>
      <c r="H21" s="2">
        <v>0.1</v>
      </c>
      <c r="I21" s="2">
        <v>0.01</v>
      </c>
      <c r="J21" s="2">
        <v>0.04</v>
      </c>
    </row>
    <row r="22" spans="1:10">
      <c r="A22" t="s">
        <v>150</v>
      </c>
      <c r="B22" s="5" t="s">
        <v>53</v>
      </c>
      <c r="C22" s="5" t="s">
        <v>59</v>
      </c>
      <c r="D22" s="5" t="s">
        <v>57</v>
      </c>
      <c r="E22">
        <v>0.59</v>
      </c>
      <c r="F22" s="2">
        <v>0.01</v>
      </c>
      <c r="G22" s="2">
        <v>0.06</v>
      </c>
      <c r="H22" s="2">
        <v>0.1</v>
      </c>
      <c r="I22" s="2">
        <v>0.01</v>
      </c>
      <c r="J22" s="2">
        <v>0.04</v>
      </c>
    </row>
    <row r="23" spans="1:10">
      <c r="A23" t="s">
        <v>151</v>
      </c>
      <c r="B23" s="5" t="s">
        <v>53</v>
      </c>
      <c r="C23" s="5" t="s">
        <v>60</v>
      </c>
      <c r="D23" s="5" t="s">
        <v>57</v>
      </c>
      <c r="E23">
        <v>0.47</v>
      </c>
      <c r="F23" s="2">
        <v>0.01</v>
      </c>
      <c r="G23" s="2">
        <v>0.06</v>
      </c>
      <c r="H23" s="2">
        <v>0.1</v>
      </c>
      <c r="I23" s="2">
        <v>0.01</v>
      </c>
      <c r="J23" s="2">
        <v>0.04</v>
      </c>
    </row>
    <row r="24" spans="1:10">
      <c r="A24" t="s">
        <v>152</v>
      </c>
      <c r="B24" s="5" t="s">
        <v>53</v>
      </c>
      <c r="C24" s="5" t="s">
        <v>61</v>
      </c>
      <c r="D24" s="5" t="s">
        <v>57</v>
      </c>
      <c r="E24">
        <v>0.46</v>
      </c>
      <c r="F24">
        <v>0.02</v>
      </c>
      <c r="G24">
        <v>0.45</v>
      </c>
      <c r="H24">
        <v>0.33</v>
      </c>
      <c r="I24" s="2">
        <v>0.01</v>
      </c>
      <c r="J24" s="2">
        <v>0.04</v>
      </c>
    </row>
    <row r="25" spans="1:10">
      <c r="A25" t="s">
        <v>153</v>
      </c>
      <c r="B25" s="5" t="s">
        <v>53</v>
      </c>
      <c r="C25" s="5" t="s">
        <v>62</v>
      </c>
      <c r="D25" s="5" t="s">
        <v>57</v>
      </c>
      <c r="E25">
        <v>0.41</v>
      </c>
      <c r="F25">
        <v>0.02</v>
      </c>
      <c r="G25">
        <v>0.23</v>
      </c>
      <c r="H25">
        <v>0.19</v>
      </c>
      <c r="I25" s="2">
        <v>0.01</v>
      </c>
      <c r="J25" s="2">
        <v>0.04</v>
      </c>
    </row>
    <row r="26" spans="1:10">
      <c r="A26" t="s">
        <v>154</v>
      </c>
      <c r="B26" s="5" t="s">
        <v>53</v>
      </c>
      <c r="C26" s="5" t="s">
        <v>63</v>
      </c>
      <c r="D26" s="5" t="s">
        <v>57</v>
      </c>
      <c r="E26">
        <v>1.73</v>
      </c>
      <c r="F26">
        <v>1.24</v>
      </c>
      <c r="G26">
        <v>74.2</v>
      </c>
      <c r="H26">
        <v>23.9</v>
      </c>
      <c r="I26">
        <v>1.7</v>
      </c>
      <c r="J26" s="2">
        <v>4.8499999999999996</v>
      </c>
    </row>
    <row r="27" spans="1:10">
      <c r="A27" t="s">
        <v>155</v>
      </c>
      <c r="B27" s="6" t="s">
        <v>64</v>
      </c>
      <c r="C27" s="5" t="s">
        <v>65</v>
      </c>
      <c r="D27" s="5" t="s">
        <v>55</v>
      </c>
      <c r="E27">
        <v>2.37</v>
      </c>
      <c r="F27">
        <v>0.02</v>
      </c>
      <c r="G27">
        <v>0.21</v>
      </c>
      <c r="H27">
        <v>0.22</v>
      </c>
      <c r="I27">
        <v>0.24</v>
      </c>
      <c r="J27" s="2">
        <v>0.04</v>
      </c>
    </row>
    <row r="28" spans="1:10">
      <c r="A28" t="s">
        <v>156</v>
      </c>
      <c r="B28" s="6" t="s">
        <v>64</v>
      </c>
      <c r="C28" s="5" t="s">
        <v>66</v>
      </c>
      <c r="D28" s="5" t="s">
        <v>55</v>
      </c>
      <c r="E28">
        <v>156</v>
      </c>
      <c r="F28">
        <v>26.3</v>
      </c>
      <c r="G28">
        <v>322</v>
      </c>
      <c r="H28">
        <v>238</v>
      </c>
      <c r="I28">
        <v>13.5</v>
      </c>
      <c r="J28">
        <v>50.7</v>
      </c>
    </row>
    <row r="29" spans="1:10">
      <c r="A29" t="s">
        <v>157</v>
      </c>
      <c r="B29" s="6" t="s">
        <v>64</v>
      </c>
      <c r="C29" s="5" t="s">
        <v>67</v>
      </c>
      <c r="D29" s="5" t="s">
        <v>55</v>
      </c>
      <c r="E29">
        <v>19.5</v>
      </c>
      <c r="F29">
        <v>0.13</v>
      </c>
      <c r="G29">
        <v>57.4</v>
      </c>
      <c r="H29">
        <v>99.5</v>
      </c>
      <c r="I29">
        <v>0.11</v>
      </c>
      <c r="J29" s="2">
        <v>0.04</v>
      </c>
    </row>
    <row r="30" spans="1:10">
      <c r="A30" t="s">
        <v>158</v>
      </c>
      <c r="B30" s="6" t="s">
        <v>64</v>
      </c>
      <c r="C30" s="5" t="s">
        <v>68</v>
      </c>
      <c r="D30" s="5" t="s">
        <v>55</v>
      </c>
      <c r="E30" s="2">
        <v>0.12</v>
      </c>
      <c r="F30">
        <v>0.04</v>
      </c>
      <c r="G30">
        <v>0.61</v>
      </c>
      <c r="H30">
        <v>0.55000000000000004</v>
      </c>
      <c r="I30" s="2">
        <v>0.01</v>
      </c>
      <c r="J30" s="2">
        <v>0.04</v>
      </c>
    </row>
  </sheetData>
  <phoneticPr fontId="2"/>
  <printOptions gridLines="1"/>
  <pageMargins left="0.74803149606299213" right="0.74803149606299213" top="0.98425196850393704" bottom="0.98425196850393704" header="0.51181102362204722" footer="0.51181102362204722"/>
  <pageSetup paperSize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F16"/>
  <sheetViews>
    <sheetView workbookViewId="0">
      <selection activeCell="C24" sqref="C24"/>
    </sheetView>
  </sheetViews>
  <sheetFormatPr baseColWidth="10" defaultRowHeight="13" x14ac:dyDescent="0"/>
  <cols>
    <col min="2" max="2" width="7.42578125" customWidth="1"/>
    <col min="3" max="3" width="6.28515625" customWidth="1"/>
    <col min="4" max="4" width="5.85546875" customWidth="1"/>
    <col min="5" max="5" width="7.140625" customWidth="1"/>
    <col min="6" max="6" width="7" customWidth="1"/>
    <col min="7" max="7" width="6.7109375" customWidth="1"/>
    <col min="8" max="8" width="7.140625" customWidth="1"/>
    <col min="9" max="9" width="6.7109375" customWidth="1"/>
    <col min="10" max="10" width="6" customWidth="1"/>
    <col min="11" max="11" width="6.85546875" customWidth="1"/>
  </cols>
  <sheetData>
    <row r="3" spans="1:110">
      <c r="A3" t="s">
        <v>88</v>
      </c>
    </row>
    <row r="5" spans="1:110">
      <c r="A5" s="12"/>
      <c r="B5" s="12" t="s">
        <v>82</v>
      </c>
      <c r="C5" s="13" t="s">
        <v>83</v>
      </c>
      <c r="D5" s="13" t="s">
        <v>84</v>
      </c>
      <c r="E5" s="13" t="s">
        <v>87</v>
      </c>
      <c r="F5" s="14" t="s">
        <v>91</v>
      </c>
      <c r="G5" s="14" t="s">
        <v>92</v>
      </c>
      <c r="H5" s="14" t="s">
        <v>85</v>
      </c>
      <c r="I5" s="14" t="s">
        <v>86</v>
      </c>
      <c r="J5" t="s">
        <v>48</v>
      </c>
      <c r="K5" t="s">
        <v>49</v>
      </c>
    </row>
    <row r="6" spans="1:110">
      <c r="A6" s="12"/>
      <c r="B6" s="12"/>
      <c r="C6" s="13"/>
      <c r="D6" s="13"/>
      <c r="E6" s="13"/>
      <c r="F6" s="14"/>
      <c r="G6" s="14"/>
      <c r="H6" s="14"/>
      <c r="I6" s="14"/>
    </row>
    <row r="8" spans="1:110">
      <c r="Q8" s="1"/>
      <c r="AF8" s="3"/>
      <c r="AG8" s="4"/>
      <c r="AH8" s="4"/>
      <c r="AI8" s="4"/>
      <c r="AJ8" s="4"/>
      <c r="AK8" s="4"/>
      <c r="AL8" s="4"/>
      <c r="AM8" s="4"/>
      <c r="AN8" s="4"/>
      <c r="AO8" s="4"/>
      <c r="AP8" s="4"/>
      <c r="CL8" s="3"/>
      <c r="CM8" s="7" t="s">
        <v>169</v>
      </c>
      <c r="CN8" s="7" t="s">
        <v>17</v>
      </c>
      <c r="CO8" s="7" t="s">
        <v>4</v>
      </c>
      <c r="CP8" s="7" t="s">
        <v>0</v>
      </c>
      <c r="CQ8" s="7" t="s">
        <v>173</v>
      </c>
      <c r="CR8" s="7" t="s">
        <v>5</v>
      </c>
      <c r="CS8" s="7" t="s">
        <v>14</v>
      </c>
      <c r="CT8" s="7" t="s">
        <v>12</v>
      </c>
      <c r="CU8" s="7" t="s">
        <v>36</v>
      </c>
      <c r="CV8" s="7" t="s">
        <v>18</v>
      </c>
      <c r="CW8" s="7" t="s">
        <v>180</v>
      </c>
      <c r="CX8" s="7" t="s">
        <v>182</v>
      </c>
      <c r="CY8" s="7" t="s">
        <v>178</v>
      </c>
      <c r="CZ8" s="7" t="s">
        <v>179</v>
      </c>
      <c r="DA8" s="7" t="s">
        <v>34</v>
      </c>
      <c r="DE8" t="s">
        <v>80</v>
      </c>
      <c r="DF8" t="s">
        <v>81</v>
      </c>
    </row>
    <row r="10" spans="1:110">
      <c r="A10" t="s">
        <v>90</v>
      </c>
      <c r="B10" s="5" t="s">
        <v>51</v>
      </c>
      <c r="C10" s="5">
        <v>174.1</v>
      </c>
      <c r="D10" s="5">
        <v>174.2</v>
      </c>
      <c r="E10">
        <v>39.200000000000003</v>
      </c>
      <c r="F10">
        <v>459</v>
      </c>
      <c r="G10">
        <v>239</v>
      </c>
      <c r="H10">
        <v>582</v>
      </c>
      <c r="I10">
        <v>610</v>
      </c>
      <c r="J10">
        <v>112</v>
      </c>
      <c r="K10">
        <v>468</v>
      </c>
      <c r="Q10" s="1"/>
      <c r="Y10" s="2"/>
      <c r="Z10" s="2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CL10" s="3" t="e">
        <f>380*H10/O10</f>
        <v>#DIV/0!</v>
      </c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C10" s="8" t="s">
        <v>77</v>
      </c>
      <c r="DE10" s="4"/>
      <c r="DF10" s="4"/>
    </row>
    <row r="11" spans="1:110">
      <c r="B11" s="5" t="s">
        <v>51</v>
      </c>
      <c r="C11" s="5">
        <v>174.5</v>
      </c>
      <c r="D11" s="5">
        <v>174.6</v>
      </c>
      <c r="E11">
        <v>35.299999999999997</v>
      </c>
      <c r="F11">
        <v>242</v>
      </c>
      <c r="G11">
        <v>70.900000000000006</v>
      </c>
      <c r="H11">
        <v>593</v>
      </c>
      <c r="I11">
        <v>961</v>
      </c>
      <c r="J11">
        <v>47.5</v>
      </c>
      <c r="K11">
        <v>104</v>
      </c>
      <c r="Q11" s="1"/>
      <c r="Z11" s="2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CL11" s="3" t="e">
        <f>380*H11/O11</f>
        <v>#DIV/0!</v>
      </c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C11" s="8" t="s">
        <v>77</v>
      </c>
      <c r="DE11" s="4"/>
      <c r="DF11" s="4"/>
    </row>
    <row r="12" spans="1:110">
      <c r="B12" s="5" t="s">
        <v>51</v>
      </c>
      <c r="C12" s="5">
        <v>174.75</v>
      </c>
      <c r="D12" s="5">
        <v>174.85</v>
      </c>
      <c r="E12">
        <v>35.700000000000003</v>
      </c>
      <c r="F12">
        <v>241</v>
      </c>
      <c r="G12">
        <v>68.599999999999994</v>
      </c>
      <c r="H12">
        <v>729</v>
      </c>
      <c r="I12">
        <v>730</v>
      </c>
      <c r="J12">
        <v>46.2</v>
      </c>
      <c r="K12">
        <v>102</v>
      </c>
      <c r="Q12" s="1"/>
      <c r="Y12" s="2"/>
      <c r="Z12" s="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CL12" s="3" t="e">
        <f>380*H12/O12</f>
        <v>#DIV/0!</v>
      </c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C12" s="8" t="s">
        <v>77</v>
      </c>
      <c r="DE12" s="4"/>
      <c r="DF12" s="4"/>
    </row>
    <row r="13" spans="1:110">
      <c r="B13" s="5"/>
      <c r="C13" s="5"/>
      <c r="D13" s="5"/>
      <c r="Q13" s="1"/>
      <c r="Y13" s="2"/>
      <c r="Z13" s="2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C13" s="8"/>
      <c r="DE13" s="4"/>
      <c r="DF13" s="4"/>
    </row>
    <row r="14" spans="1:110">
      <c r="B14" s="5" t="s">
        <v>93</v>
      </c>
      <c r="C14" s="5"/>
      <c r="D14" s="5"/>
      <c r="E14" s="1">
        <f>AVERAGE(E10:E12)</f>
        <v>36.733333333333334</v>
      </c>
      <c r="F14" s="1">
        <f t="shared" ref="F14:K14" si="0">AVERAGE(F10:F12)</f>
        <v>314</v>
      </c>
      <c r="G14" s="1">
        <f t="shared" si="0"/>
        <v>126.16666666666667</v>
      </c>
      <c r="H14" s="1">
        <f t="shared" si="0"/>
        <v>634.66666666666663</v>
      </c>
      <c r="I14" s="1">
        <f t="shared" si="0"/>
        <v>767</v>
      </c>
      <c r="J14" s="1">
        <f t="shared" si="0"/>
        <v>68.566666666666663</v>
      </c>
      <c r="K14" s="1">
        <f t="shared" si="0"/>
        <v>224.66666666666666</v>
      </c>
      <c r="L14" s="1">
        <f>SUM(F14:K14)</f>
        <v>2135.0666666666666</v>
      </c>
      <c r="Q14" s="1"/>
      <c r="Y14" s="2"/>
      <c r="Z14" s="2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C14" s="8"/>
      <c r="DE14" s="4"/>
      <c r="DF14" s="4"/>
    </row>
    <row r="16" spans="1:110">
      <c r="A16" s="12" t="s">
        <v>89</v>
      </c>
      <c r="B16" s="12" t="s">
        <v>51</v>
      </c>
      <c r="C16" s="13">
        <v>174.1</v>
      </c>
      <c r="D16" s="13">
        <v>174.8</v>
      </c>
      <c r="E16" s="13">
        <v>35.299999999999997</v>
      </c>
      <c r="F16" s="13">
        <v>240</v>
      </c>
      <c r="G16" s="15"/>
      <c r="H16" s="13">
        <v>490</v>
      </c>
      <c r="I16" s="13">
        <v>120</v>
      </c>
    </row>
  </sheetData>
  <phoneticPr fontId="2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57</vt:i4>
      </vt:variant>
    </vt:vector>
  </HeadingPairs>
  <TitlesOfParts>
    <vt:vector size="66" baseType="lpstr">
      <vt:lpstr>Data</vt:lpstr>
      <vt:lpstr>Pd-Cu Discriminant</vt:lpstr>
      <vt:lpstr>MF-23 Assays</vt:lpstr>
      <vt:lpstr> MF19 Assats</vt:lpstr>
      <vt:lpstr>Samples</vt:lpstr>
      <vt:lpstr>2014 Data</vt:lpstr>
      <vt:lpstr>SPider data</vt:lpstr>
      <vt:lpstr>PGE Data</vt:lpstr>
      <vt:lpstr>Compare</vt:lpstr>
      <vt:lpstr>SSe vs dep (MF81A)</vt:lpstr>
      <vt:lpstr>Ni vs dep (MF81A)</vt:lpstr>
      <vt:lpstr>Cu vs dep (MF81A) (2)</vt:lpstr>
      <vt:lpstr>Cu100 vs SSe2</vt:lpstr>
      <vt:lpstr>NbTh vs ThYb</vt:lpstr>
      <vt:lpstr>CuPd vs dep (MF 93-Sill 4</vt:lpstr>
      <vt:lpstr>PdIr vs NiCu2 (3)</vt:lpstr>
      <vt:lpstr>PdIr vs NiCu2 (2)</vt:lpstr>
      <vt:lpstr>PdIr vs NiCu2</vt:lpstr>
      <vt:lpstr>CuPd vs dep (MF93-4</vt:lpstr>
      <vt:lpstr>Pd vs Cu</vt:lpstr>
      <vt:lpstr>Pd vs SSe</vt:lpstr>
      <vt:lpstr>CuPd vs SSe</vt:lpstr>
      <vt:lpstr>Cu vs SSe</vt:lpstr>
      <vt:lpstr>Cu vs Ni</vt:lpstr>
      <vt:lpstr>CuPd vs dep (MF23-sill4 </vt:lpstr>
      <vt:lpstr>Pd vs dep (MF23-sill4</vt:lpstr>
      <vt:lpstr>SSe vs dep (MF23-sill4</vt:lpstr>
      <vt:lpstr>Pd vs Ni</vt:lpstr>
      <vt:lpstr>Ir vs Pd</vt:lpstr>
      <vt:lpstr>Rh vs Pt</vt:lpstr>
      <vt:lpstr>Ir vs Pt  </vt:lpstr>
      <vt:lpstr>MF-19 Ni vs dep (assays) </vt:lpstr>
      <vt:lpstr>SSe vs dep (MF23-sill2)</vt:lpstr>
      <vt:lpstr>MF-23 Ni vs dep (assays)</vt:lpstr>
      <vt:lpstr>MF-23 NiCu vs dep (assays)</vt:lpstr>
      <vt:lpstr>CeYb vs dep (MF93-sill4</vt:lpstr>
      <vt:lpstr>SSe vs dep (MF93-sill4)</vt:lpstr>
      <vt:lpstr>Min vs Non</vt:lpstr>
      <vt:lpstr>Spider  (A-254)</vt:lpstr>
      <vt:lpstr>Spider (new)</vt:lpstr>
      <vt:lpstr>ThYb vs dep (MF93-sill4) </vt:lpstr>
      <vt:lpstr>Spider</vt:lpstr>
      <vt:lpstr>Cu vs Se</vt:lpstr>
      <vt:lpstr>Ni vs MgO (DDH)</vt:lpstr>
      <vt:lpstr>Pd vs Pt </vt:lpstr>
      <vt:lpstr>MgO vs dep (MF93-sill4)</vt:lpstr>
      <vt:lpstr>Ni vs dep (MF93-sill4) </vt:lpstr>
      <vt:lpstr>Cu vs dep (MF93-sill4)</vt:lpstr>
      <vt:lpstr>Pd vs dep (MF93-sill4)</vt:lpstr>
      <vt:lpstr>PdIr vs NiCu</vt:lpstr>
      <vt:lpstr>MgO vs dep (MF81A </vt:lpstr>
      <vt:lpstr>Pd vs dep (MF81A</vt:lpstr>
      <vt:lpstr>Pd vs S</vt:lpstr>
      <vt:lpstr>Pd vs Pt</vt:lpstr>
      <vt:lpstr>Pd vs Cu100</vt:lpstr>
      <vt:lpstr>Cu100 vs SSe</vt:lpstr>
      <vt:lpstr>Pd100 vs SSe</vt:lpstr>
      <vt:lpstr>SSe vs S</vt:lpstr>
      <vt:lpstr>Pd vs Cu EG</vt:lpstr>
      <vt:lpstr>NiPd vs CuIr</vt:lpstr>
      <vt:lpstr>PGE spiders</vt:lpstr>
      <vt:lpstr>Norm CI</vt:lpstr>
      <vt:lpstr>Ir vs Pt </vt:lpstr>
      <vt:lpstr>Ir vs MgO</vt:lpstr>
      <vt:lpstr>SiO vs MgO</vt:lpstr>
      <vt:lpstr>adam</vt:lpstr>
    </vt:vector>
  </TitlesOfParts>
  <Company>monash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 Keays</dc:creator>
  <cp:lastModifiedBy>Monash</cp:lastModifiedBy>
  <cp:lastPrinted>2014-10-16T10:06:09Z</cp:lastPrinted>
  <dcterms:created xsi:type="dcterms:W3CDTF">2009-03-11T08:05:52Z</dcterms:created>
  <dcterms:modified xsi:type="dcterms:W3CDTF">2014-10-20T06:28:39Z</dcterms:modified>
</cp:coreProperties>
</file>