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195" windowHeight="8700" activeTab="8"/>
  </bookViews>
  <sheets>
    <sheet name="Title" sheetId="2" r:id="rId1"/>
    <sheet name="Phys Input" sheetId="1" r:id="rId2"/>
    <sheet name="Resource" sheetId="5" r:id="rId3"/>
    <sheet name="Physical" sheetId="3" r:id="rId4"/>
    <sheet name="Labour" sheetId="8" r:id="rId5"/>
    <sheet name="Input" sheetId="6" r:id="rId6"/>
    <sheet name="Costs" sheetId="7" r:id="rId7"/>
    <sheet name="Financial" sheetId="4" r:id="rId8"/>
    <sheet name="Hazell" sheetId="9" r:id="rId9"/>
    <sheet name="Raw" sheetId="10" r:id="rId10"/>
  </sheets>
  <calcPr calcId="145621"/>
</workbook>
</file>

<file path=xl/calcChain.xml><?xml version="1.0" encoding="utf-8"?>
<calcChain xmlns="http://schemas.openxmlformats.org/spreadsheetml/2006/main">
  <c r="Q142" i="7" l="1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9" i="7" l="1"/>
  <c r="B149" i="7"/>
  <c r="B170" i="6"/>
  <c r="B169" i="6"/>
  <c r="H236" i="6"/>
  <c r="A235" i="6"/>
  <c r="A234" i="6"/>
  <c r="D115" i="7"/>
  <c r="D39" i="9"/>
  <c r="D38" i="9"/>
  <c r="D37" i="9"/>
  <c r="D36" i="9"/>
  <c r="D35" i="9"/>
  <c r="C40" i="9"/>
  <c r="D27" i="9"/>
  <c r="D31" i="9"/>
  <c r="D30" i="9"/>
  <c r="D29" i="9"/>
  <c r="D28" i="9"/>
  <c r="D26" i="9"/>
  <c r="B24" i="9"/>
  <c r="D24" i="9" s="1"/>
  <c r="B7" i="10"/>
  <c r="C11" i="9"/>
  <c r="D11" i="9" s="1"/>
  <c r="C10" i="9"/>
  <c r="C12" i="9" s="1"/>
  <c r="B11" i="10" s="1"/>
  <c r="C11" i="10" s="1"/>
  <c r="D9" i="9"/>
  <c r="D8" i="9"/>
  <c r="G71" i="6"/>
  <c r="E71" i="6"/>
  <c r="H282" i="6"/>
  <c r="A281" i="6"/>
  <c r="A280" i="6"/>
  <c r="B291" i="6"/>
  <c r="B94" i="1"/>
  <c r="B96" i="1" s="1"/>
  <c r="E97" i="1"/>
  <c r="C106" i="1" s="1"/>
  <c r="B287" i="6"/>
  <c r="B220" i="6"/>
  <c r="D40" i="9" l="1"/>
  <c r="D11" i="10"/>
  <c r="D10" i="9"/>
  <c r="D32" i="9"/>
  <c r="D12" i="9"/>
  <c r="D208" i="6" s="1"/>
  <c r="B13" i="10"/>
  <c r="C13" i="10" s="1"/>
  <c r="D13" i="10" s="1"/>
  <c r="R710" i="3"/>
  <c r="B63" i="1"/>
  <c r="D719" i="3" s="1"/>
  <c r="D124" i="7" s="1"/>
  <c r="B61" i="1"/>
  <c r="D716" i="3" s="1"/>
  <c r="B58" i="1"/>
  <c r="E56" i="1"/>
  <c r="E57" i="1"/>
  <c r="D207" i="6" l="1"/>
  <c r="D126" i="7"/>
  <c r="D717" i="3"/>
  <c r="D128" i="7"/>
  <c r="D720" i="3"/>
  <c r="D129" i="7" s="1"/>
  <c r="Q205" i="7"/>
  <c r="P205" i="7"/>
  <c r="O205" i="7"/>
  <c r="N205" i="7"/>
  <c r="M205" i="7"/>
  <c r="L205" i="7"/>
  <c r="K205" i="7"/>
  <c r="J205" i="7"/>
  <c r="I205" i="7"/>
  <c r="H205" i="7"/>
  <c r="G205" i="7"/>
  <c r="F205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5" i="7"/>
  <c r="E204" i="7"/>
  <c r="E203" i="7"/>
  <c r="D207" i="7"/>
  <c r="B166" i="7"/>
  <c r="C166" i="7"/>
  <c r="D166" i="7"/>
  <c r="C211" i="7"/>
  <c r="B211" i="7"/>
  <c r="D703" i="3"/>
  <c r="D666" i="3"/>
  <c r="D690" i="3"/>
  <c r="Q690" i="3"/>
  <c r="P690" i="3"/>
  <c r="O690" i="3"/>
  <c r="N690" i="3"/>
  <c r="M690" i="3"/>
  <c r="L690" i="3"/>
  <c r="K690" i="3"/>
  <c r="J690" i="3"/>
  <c r="I690" i="3"/>
  <c r="H690" i="3"/>
  <c r="G690" i="3"/>
  <c r="F690" i="3"/>
  <c r="E690" i="3"/>
  <c r="R189" i="7"/>
  <c r="A188" i="7"/>
  <c r="A187" i="7"/>
  <c r="C55" i="8"/>
  <c r="C51" i="8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Q751" i="3"/>
  <c r="P751" i="3"/>
  <c r="O751" i="3"/>
  <c r="N751" i="3"/>
  <c r="M751" i="3"/>
  <c r="L751" i="3"/>
  <c r="K751" i="3"/>
  <c r="J751" i="3"/>
  <c r="I751" i="3"/>
  <c r="H751" i="3"/>
  <c r="G751" i="3"/>
  <c r="F751" i="3"/>
  <c r="E751" i="3"/>
  <c r="D751" i="3"/>
  <c r="A709" i="3"/>
  <c r="A708" i="3"/>
  <c r="D127" i="7" l="1"/>
  <c r="D718" i="3"/>
  <c r="S204" i="7"/>
  <c r="S205" i="7"/>
  <c r="D702" i="3"/>
  <c r="S203" i="7"/>
  <c r="S142" i="7"/>
  <c r="S141" i="7"/>
  <c r="S180" i="7"/>
  <c r="S209" i="7"/>
  <c r="D4" i="8"/>
  <c r="A3" i="8"/>
  <c r="A2" i="8"/>
  <c r="B64" i="8"/>
  <c r="B65" i="8" s="1"/>
  <c r="D11" i="8"/>
  <c r="D12" i="8" s="1"/>
  <c r="C22" i="8" s="1"/>
  <c r="D22" i="8" s="1"/>
  <c r="C11" i="8"/>
  <c r="C12" i="8" s="1"/>
  <c r="C17" i="8" s="1"/>
  <c r="D17" i="8" s="1"/>
  <c r="P94" i="7" l="1"/>
  <c r="L94" i="7"/>
  <c r="H94" i="7"/>
  <c r="N94" i="7"/>
  <c r="O94" i="7"/>
  <c r="K94" i="7"/>
  <c r="G94" i="7"/>
  <c r="D94" i="7"/>
  <c r="J94" i="7"/>
  <c r="F94" i="7"/>
  <c r="Q94" i="7"/>
  <c r="M94" i="7"/>
  <c r="I94" i="7"/>
  <c r="E94" i="7"/>
  <c r="P97" i="7"/>
  <c r="L97" i="7"/>
  <c r="H97" i="7"/>
  <c r="D97" i="7"/>
  <c r="F97" i="7"/>
  <c r="O97" i="7"/>
  <c r="K97" i="7"/>
  <c r="G97" i="7"/>
  <c r="N97" i="7"/>
  <c r="J97" i="7"/>
  <c r="Q97" i="7"/>
  <c r="M97" i="7"/>
  <c r="I97" i="7"/>
  <c r="E97" i="7"/>
  <c r="C20" i="8"/>
  <c r="D20" i="8" s="1"/>
  <c r="C18" i="8"/>
  <c r="D18" i="8" s="1"/>
  <c r="C21" i="8"/>
  <c r="D21" i="8" s="1"/>
  <c r="C19" i="8"/>
  <c r="D19" i="8" s="1"/>
  <c r="C26" i="8"/>
  <c r="D26" i="8" s="1"/>
  <c r="C25" i="8"/>
  <c r="D25" i="8" s="1"/>
  <c r="C24" i="8"/>
  <c r="D24" i="8" s="1"/>
  <c r="C53" i="8"/>
  <c r="D53" i="8" s="1"/>
  <c r="C52" i="8"/>
  <c r="D52" i="8" s="1"/>
  <c r="D51" i="8"/>
  <c r="C45" i="8"/>
  <c r="D45" i="8" s="1"/>
  <c r="C44" i="8"/>
  <c r="D44" i="8" s="1"/>
  <c r="C43" i="8"/>
  <c r="D43" i="8" s="1"/>
  <c r="C38" i="8"/>
  <c r="D38" i="8" s="1"/>
  <c r="C32" i="8"/>
  <c r="D32" i="8" s="1"/>
  <c r="C31" i="8"/>
  <c r="D31" i="8" s="1"/>
  <c r="C30" i="8"/>
  <c r="D30" i="8" s="1"/>
  <c r="C29" i="8"/>
  <c r="D29" i="8" s="1"/>
  <c r="C28" i="8"/>
  <c r="D28" i="8" s="1"/>
  <c r="C56" i="8"/>
  <c r="D56" i="8" s="1"/>
  <c r="D55" i="8"/>
  <c r="C54" i="8"/>
  <c r="D54" i="8" s="1"/>
  <c r="C49" i="8"/>
  <c r="D49" i="8" s="1"/>
  <c r="C48" i="8"/>
  <c r="D48" i="8" s="1"/>
  <c r="C47" i="8"/>
  <c r="D47" i="8" s="1"/>
  <c r="C46" i="8"/>
  <c r="D46" i="8" s="1"/>
  <c r="C41" i="8"/>
  <c r="D41" i="8" s="1"/>
  <c r="C40" i="8"/>
  <c r="D40" i="8" s="1"/>
  <c r="C39" i="8"/>
  <c r="D39" i="8" s="1"/>
  <c r="C37" i="8"/>
  <c r="D37" i="8" s="1"/>
  <c r="C36" i="8"/>
  <c r="D36" i="8" s="1"/>
  <c r="C35" i="8"/>
  <c r="D35" i="8" s="1"/>
  <c r="C34" i="8"/>
  <c r="D34" i="8" s="1"/>
  <c r="C33" i="8"/>
  <c r="D33" i="8" s="1"/>
  <c r="O100" i="7" l="1"/>
  <c r="O102" i="7" s="1"/>
  <c r="K100" i="7"/>
  <c r="K102" i="7" s="1"/>
  <c r="G100" i="7"/>
  <c r="D100" i="7"/>
  <c r="M100" i="7"/>
  <c r="E100" i="7"/>
  <c r="E102" i="7" s="1"/>
  <c r="N100" i="7"/>
  <c r="J100" i="7"/>
  <c r="F100" i="7"/>
  <c r="F102" i="7" s="1"/>
  <c r="Q100" i="7"/>
  <c r="I100" i="7"/>
  <c r="P100" i="7"/>
  <c r="L100" i="7"/>
  <c r="H100" i="7"/>
  <c r="H102" i="7" s="1"/>
  <c r="H98" i="7"/>
  <c r="N96" i="7"/>
  <c r="J96" i="7"/>
  <c r="F96" i="7"/>
  <c r="D96" i="7"/>
  <c r="S96" i="7" s="1"/>
  <c r="H96" i="7"/>
  <c r="Q96" i="7"/>
  <c r="M96" i="7"/>
  <c r="I96" i="7"/>
  <c r="I98" i="7" s="1"/>
  <c r="E96" i="7"/>
  <c r="P96" i="7"/>
  <c r="L96" i="7"/>
  <c r="O96" i="7"/>
  <c r="K96" i="7"/>
  <c r="G96" i="7"/>
  <c r="S97" i="7"/>
  <c r="E98" i="7"/>
  <c r="F98" i="7"/>
  <c r="O95" i="7"/>
  <c r="K95" i="7"/>
  <c r="K98" i="7" s="1"/>
  <c r="G95" i="7"/>
  <c r="G98" i="7" s="1"/>
  <c r="I95" i="7"/>
  <c r="N95" i="7"/>
  <c r="N98" i="7" s="1"/>
  <c r="J95" i="7"/>
  <c r="J98" i="7" s="1"/>
  <c r="F95" i="7"/>
  <c r="D95" i="7"/>
  <c r="M95" i="7"/>
  <c r="M98" i="7" s="1"/>
  <c r="E95" i="7"/>
  <c r="Q95" i="7"/>
  <c r="Q98" i="7" s="1"/>
  <c r="P95" i="7"/>
  <c r="L95" i="7"/>
  <c r="L98" i="7" s="1"/>
  <c r="H95" i="7"/>
  <c r="S94" i="7"/>
  <c r="N101" i="7"/>
  <c r="J101" i="7"/>
  <c r="F101" i="7"/>
  <c r="H101" i="7"/>
  <c r="Q101" i="7"/>
  <c r="M101" i="7"/>
  <c r="I101" i="7"/>
  <c r="E101" i="7"/>
  <c r="L101" i="7"/>
  <c r="P101" i="7"/>
  <c r="O101" i="7"/>
  <c r="K101" i="7"/>
  <c r="G101" i="7"/>
  <c r="D101" i="7"/>
  <c r="O98" i="7"/>
  <c r="P98" i="7"/>
  <c r="Q199" i="7"/>
  <c r="O199" i="7"/>
  <c r="M199" i="7"/>
  <c r="K199" i="7"/>
  <c r="I199" i="7"/>
  <c r="G199" i="7"/>
  <c r="E199" i="7"/>
  <c r="D199" i="7"/>
  <c r="P199" i="7"/>
  <c r="N199" i="7"/>
  <c r="L199" i="7"/>
  <c r="J199" i="7"/>
  <c r="H199" i="7"/>
  <c r="F199" i="7"/>
  <c r="P196" i="7"/>
  <c r="N196" i="7"/>
  <c r="L196" i="7"/>
  <c r="J196" i="7"/>
  <c r="H196" i="7"/>
  <c r="F196" i="7"/>
  <c r="Q196" i="7"/>
  <c r="O196" i="7"/>
  <c r="M196" i="7"/>
  <c r="K196" i="7"/>
  <c r="I196" i="7"/>
  <c r="G196" i="7"/>
  <c r="E196" i="7"/>
  <c r="D196" i="7"/>
  <c r="P198" i="7"/>
  <c r="N198" i="7"/>
  <c r="L198" i="7"/>
  <c r="J198" i="7"/>
  <c r="H198" i="7"/>
  <c r="F198" i="7"/>
  <c r="Q198" i="7"/>
  <c r="O198" i="7"/>
  <c r="M198" i="7"/>
  <c r="K198" i="7"/>
  <c r="I198" i="7"/>
  <c r="G198" i="7"/>
  <c r="E198" i="7"/>
  <c r="D198" i="7"/>
  <c r="P200" i="7"/>
  <c r="N200" i="7"/>
  <c r="L200" i="7"/>
  <c r="J200" i="7"/>
  <c r="H200" i="7"/>
  <c r="F200" i="7"/>
  <c r="Q200" i="7"/>
  <c r="O200" i="7"/>
  <c r="M200" i="7"/>
  <c r="K200" i="7"/>
  <c r="I200" i="7"/>
  <c r="G200" i="7"/>
  <c r="E200" i="7"/>
  <c r="D200" i="7"/>
  <c r="Q195" i="7"/>
  <c r="O195" i="7"/>
  <c r="M195" i="7"/>
  <c r="K195" i="7"/>
  <c r="I195" i="7"/>
  <c r="G195" i="7"/>
  <c r="E195" i="7"/>
  <c r="D195" i="7"/>
  <c r="P195" i="7"/>
  <c r="N195" i="7"/>
  <c r="L195" i="7"/>
  <c r="J195" i="7"/>
  <c r="H195" i="7"/>
  <c r="F195" i="7"/>
  <c r="Q197" i="7"/>
  <c r="O197" i="7"/>
  <c r="M197" i="7"/>
  <c r="K197" i="7"/>
  <c r="I197" i="7"/>
  <c r="G197" i="7"/>
  <c r="E197" i="7"/>
  <c r="D197" i="7"/>
  <c r="P197" i="7"/>
  <c r="N197" i="7"/>
  <c r="L197" i="7"/>
  <c r="J197" i="7"/>
  <c r="H197" i="7"/>
  <c r="F197" i="7"/>
  <c r="N140" i="7"/>
  <c r="N143" i="7" s="1"/>
  <c r="J140" i="7"/>
  <c r="J143" i="7" s="1"/>
  <c r="F140" i="7"/>
  <c r="F143" i="7" s="1"/>
  <c r="O140" i="7"/>
  <c r="O143" i="7" s="1"/>
  <c r="K140" i="7"/>
  <c r="K143" i="7" s="1"/>
  <c r="G140" i="7"/>
  <c r="G143" i="7" s="1"/>
  <c r="P140" i="7"/>
  <c r="P143" i="7" s="1"/>
  <c r="L140" i="7"/>
  <c r="L143" i="7" s="1"/>
  <c r="H140" i="7"/>
  <c r="H143" i="7" s="1"/>
  <c r="D140" i="7"/>
  <c r="M140" i="7"/>
  <c r="M143" i="7" s="1"/>
  <c r="I140" i="7"/>
  <c r="I143" i="7" s="1"/>
  <c r="E140" i="7"/>
  <c r="E143" i="7" s="1"/>
  <c r="B273" i="6"/>
  <c r="C21" i="7"/>
  <c r="G108" i="6"/>
  <c r="D21" i="7" s="1"/>
  <c r="E63" i="6"/>
  <c r="F63" i="6" s="1"/>
  <c r="E62" i="6"/>
  <c r="R114" i="4"/>
  <c r="A113" i="4"/>
  <c r="A112" i="4"/>
  <c r="S160" i="4"/>
  <c r="S208" i="4"/>
  <c r="S772" i="3"/>
  <c r="S775" i="3"/>
  <c r="S774" i="3"/>
  <c r="S773" i="3"/>
  <c r="S769" i="3"/>
  <c r="S768" i="3"/>
  <c r="S767" i="3"/>
  <c r="Q779" i="3"/>
  <c r="P779" i="3"/>
  <c r="O779" i="3"/>
  <c r="N779" i="3"/>
  <c r="M779" i="3"/>
  <c r="L779" i="3"/>
  <c r="K779" i="3"/>
  <c r="J779" i="3"/>
  <c r="I779" i="3"/>
  <c r="H779" i="3"/>
  <c r="G779" i="3"/>
  <c r="F779" i="3"/>
  <c r="E779" i="3"/>
  <c r="Q776" i="3"/>
  <c r="P776" i="3"/>
  <c r="O776" i="3"/>
  <c r="N776" i="3"/>
  <c r="M776" i="3"/>
  <c r="L776" i="3"/>
  <c r="K776" i="3"/>
  <c r="J776" i="3"/>
  <c r="I776" i="3"/>
  <c r="H776" i="3"/>
  <c r="G776" i="3"/>
  <c r="F776" i="3"/>
  <c r="E776" i="3"/>
  <c r="M770" i="3"/>
  <c r="E770" i="3"/>
  <c r="Q770" i="3"/>
  <c r="P770" i="3"/>
  <c r="O770" i="3"/>
  <c r="N770" i="3"/>
  <c r="L770" i="3"/>
  <c r="K770" i="3"/>
  <c r="J770" i="3"/>
  <c r="I770" i="3"/>
  <c r="H770" i="3"/>
  <c r="G770" i="3"/>
  <c r="R760" i="3"/>
  <c r="A759" i="3"/>
  <c r="A758" i="3"/>
  <c r="Q699" i="3"/>
  <c r="P699" i="3"/>
  <c r="O699" i="3"/>
  <c r="N699" i="3"/>
  <c r="M699" i="3"/>
  <c r="L699" i="3"/>
  <c r="K699" i="3"/>
  <c r="J699" i="3"/>
  <c r="I699" i="3"/>
  <c r="H699" i="3"/>
  <c r="G699" i="3"/>
  <c r="F699" i="3"/>
  <c r="E699" i="3"/>
  <c r="Q664" i="3"/>
  <c r="Q663" i="3"/>
  <c r="Q662" i="3"/>
  <c r="P666" i="3"/>
  <c r="P702" i="3" s="1"/>
  <c r="O666" i="3"/>
  <c r="O702" i="3" s="1"/>
  <c r="N666" i="3"/>
  <c r="N702" i="3" s="1"/>
  <c r="M666" i="3"/>
  <c r="M702" i="3" s="1"/>
  <c r="L666" i="3"/>
  <c r="L702" i="3" s="1"/>
  <c r="K666" i="3"/>
  <c r="K702" i="3" s="1"/>
  <c r="J666" i="3"/>
  <c r="J702" i="3" s="1"/>
  <c r="I666" i="3"/>
  <c r="I702" i="3" s="1"/>
  <c r="H666" i="3"/>
  <c r="H702" i="3" s="1"/>
  <c r="G666" i="3"/>
  <c r="G702" i="3" s="1"/>
  <c r="F666" i="3"/>
  <c r="F702" i="3" s="1"/>
  <c r="E666" i="3"/>
  <c r="E702" i="3" s="1"/>
  <c r="Q675" i="3"/>
  <c r="Q703" i="3" s="1"/>
  <c r="P675" i="3"/>
  <c r="P703" i="3" s="1"/>
  <c r="O675" i="3"/>
  <c r="O703" i="3" s="1"/>
  <c r="N675" i="3"/>
  <c r="N703" i="3" s="1"/>
  <c r="M675" i="3"/>
  <c r="M703" i="3" s="1"/>
  <c r="L675" i="3"/>
  <c r="L703" i="3" s="1"/>
  <c r="K675" i="3"/>
  <c r="K703" i="3" s="1"/>
  <c r="J675" i="3"/>
  <c r="J703" i="3" s="1"/>
  <c r="I675" i="3"/>
  <c r="I703" i="3" s="1"/>
  <c r="H675" i="3"/>
  <c r="H703" i="3" s="1"/>
  <c r="G675" i="3"/>
  <c r="G703" i="3" s="1"/>
  <c r="F675" i="3"/>
  <c r="F703" i="3" s="1"/>
  <c r="E675" i="3"/>
  <c r="E703" i="3" s="1"/>
  <c r="Q639" i="3"/>
  <c r="Q666" i="3"/>
  <c r="Q702" i="3" s="1"/>
  <c r="A638" i="3"/>
  <c r="A637" i="3"/>
  <c r="R156" i="7"/>
  <c r="A155" i="7"/>
  <c r="A154" i="7"/>
  <c r="S116" i="7"/>
  <c r="S101" i="7" l="1"/>
  <c r="Q102" i="7"/>
  <c r="L102" i="7"/>
  <c r="M102" i="7"/>
  <c r="D98" i="7"/>
  <c r="S95" i="7"/>
  <c r="P102" i="7"/>
  <c r="J102" i="7"/>
  <c r="D102" i="7"/>
  <c r="S100" i="7"/>
  <c r="I102" i="7"/>
  <c r="N102" i="7"/>
  <c r="G102" i="7"/>
  <c r="Q140" i="7"/>
  <c r="Q143" i="7" s="1"/>
  <c r="O778" i="3"/>
  <c r="Q778" i="3"/>
  <c r="S200" i="7"/>
  <c r="S196" i="7"/>
  <c r="H778" i="3"/>
  <c r="L778" i="3"/>
  <c r="S198" i="7"/>
  <c r="H201" i="7"/>
  <c r="L201" i="7"/>
  <c r="P201" i="7"/>
  <c r="E201" i="7"/>
  <c r="I201" i="7"/>
  <c r="M201" i="7"/>
  <c r="Q201" i="7"/>
  <c r="D201" i="7"/>
  <c r="S195" i="7"/>
  <c r="S197" i="7"/>
  <c r="F201" i="7"/>
  <c r="J201" i="7"/>
  <c r="N201" i="7"/>
  <c r="G201" i="7"/>
  <c r="K201" i="7"/>
  <c r="O201" i="7"/>
  <c r="S199" i="7"/>
  <c r="M778" i="3"/>
  <c r="J778" i="3"/>
  <c r="I778" i="3"/>
  <c r="N778" i="3"/>
  <c r="E778" i="3"/>
  <c r="G778" i="3"/>
  <c r="K778" i="3"/>
  <c r="S140" i="7"/>
  <c r="D143" i="7"/>
  <c r="P778" i="3"/>
  <c r="S21" i="7"/>
  <c r="T21" i="7"/>
  <c r="F62" i="6"/>
  <c r="G62" i="6" s="1"/>
  <c r="G63" i="6"/>
  <c r="S779" i="3"/>
  <c r="S776" i="3"/>
  <c r="F770" i="3"/>
  <c r="F778" i="3" s="1"/>
  <c r="S102" i="7" l="1"/>
  <c r="S98" i="7"/>
  <c r="S143" i="7"/>
  <c r="S201" i="7"/>
  <c r="D211" i="7"/>
  <c r="S778" i="3"/>
  <c r="S770" i="3"/>
  <c r="R235" i="4" l="1"/>
  <c r="Q223" i="4"/>
  <c r="P223" i="4"/>
  <c r="O223" i="4"/>
  <c r="Q216" i="4"/>
  <c r="P216" i="4"/>
  <c r="O216" i="4"/>
  <c r="S213" i="4"/>
  <c r="S211" i="4"/>
  <c r="R199" i="4"/>
  <c r="Q184" i="4"/>
  <c r="P184" i="4"/>
  <c r="O184" i="4"/>
  <c r="Q182" i="4"/>
  <c r="P182" i="4"/>
  <c r="O182" i="4"/>
  <c r="Q172" i="4"/>
  <c r="P172" i="4"/>
  <c r="O172" i="4"/>
  <c r="Q169" i="4"/>
  <c r="P169" i="4"/>
  <c r="O169" i="4"/>
  <c r="R148" i="4"/>
  <c r="R80" i="4"/>
  <c r="D49" i="4"/>
  <c r="C49" i="4"/>
  <c r="B49" i="4"/>
  <c r="R40" i="4"/>
  <c r="B295" i="6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H84" i="6"/>
  <c r="A83" i="6"/>
  <c r="A82" i="6"/>
  <c r="E150" i="6"/>
  <c r="F150" i="6" s="1"/>
  <c r="G148" i="6"/>
  <c r="F147" i="6"/>
  <c r="F146" i="6"/>
  <c r="E145" i="6"/>
  <c r="E148" i="6" s="1"/>
  <c r="E142" i="6"/>
  <c r="F142" i="6" s="1"/>
  <c r="F143" i="6" s="1"/>
  <c r="T30" i="7"/>
  <c r="S30" i="7"/>
  <c r="T29" i="7"/>
  <c r="T28" i="7"/>
  <c r="S28" i="7"/>
  <c r="E55" i="6"/>
  <c r="E54" i="6"/>
  <c r="F54" i="6" s="1"/>
  <c r="E134" i="6"/>
  <c r="F134" i="6" s="1"/>
  <c r="G134" i="6" s="1"/>
  <c r="E133" i="6"/>
  <c r="F70" i="6"/>
  <c r="F71" i="6" s="1"/>
  <c r="G131" i="6"/>
  <c r="G130" i="6"/>
  <c r="G129" i="6"/>
  <c r="G128" i="6"/>
  <c r="G127" i="6"/>
  <c r="G126" i="6"/>
  <c r="G125" i="6"/>
  <c r="G124" i="6"/>
  <c r="G123" i="6"/>
  <c r="G122" i="6"/>
  <c r="F114" i="6"/>
  <c r="C23" i="7" s="1"/>
  <c r="F111" i="6"/>
  <c r="C22" i="7" s="1"/>
  <c r="C25" i="7"/>
  <c r="G120" i="6"/>
  <c r="D25" i="7" s="1"/>
  <c r="C24" i="7"/>
  <c r="G117" i="6"/>
  <c r="D24" i="7" s="1"/>
  <c r="C20" i="7"/>
  <c r="G105" i="6"/>
  <c r="D20" i="7" s="1"/>
  <c r="Q39" i="7"/>
  <c r="Q156" i="4" s="1"/>
  <c r="B39" i="7"/>
  <c r="T15" i="7"/>
  <c r="S15" i="7"/>
  <c r="G96" i="6"/>
  <c r="E100" i="6"/>
  <c r="G99" i="6"/>
  <c r="G98" i="6"/>
  <c r="F94" i="6"/>
  <c r="F102" i="6" s="1"/>
  <c r="C19" i="7" s="1"/>
  <c r="E93" i="6"/>
  <c r="G93" i="6" s="1"/>
  <c r="E92" i="6"/>
  <c r="G92" i="6" s="1"/>
  <c r="E91" i="6"/>
  <c r="G91" i="6" s="1"/>
  <c r="G51" i="6"/>
  <c r="G52" i="6"/>
  <c r="G48" i="6"/>
  <c r="E64" i="6"/>
  <c r="E65" i="6" s="1"/>
  <c r="G50" i="6"/>
  <c r="G49" i="6"/>
  <c r="G47" i="6"/>
  <c r="G46" i="6"/>
  <c r="G45" i="6"/>
  <c r="G44" i="6"/>
  <c r="G43" i="6"/>
  <c r="G39" i="6"/>
  <c r="G37" i="6"/>
  <c r="G35" i="6"/>
  <c r="F33" i="6"/>
  <c r="F41" i="6" s="1"/>
  <c r="C12" i="7" s="1"/>
  <c r="E32" i="6"/>
  <c r="G32" i="6" s="1"/>
  <c r="E31" i="6"/>
  <c r="G31" i="6" s="1"/>
  <c r="E30" i="6"/>
  <c r="G30" i="6" s="1"/>
  <c r="E29" i="6"/>
  <c r="G29" i="6" s="1"/>
  <c r="E28" i="6"/>
  <c r="F23" i="6"/>
  <c r="F16" i="6"/>
  <c r="G15" i="6"/>
  <c r="G18" i="6"/>
  <c r="E14" i="6"/>
  <c r="G14" i="6" s="1"/>
  <c r="E23" i="6"/>
  <c r="G22" i="6"/>
  <c r="G21" i="6"/>
  <c r="G20" i="6"/>
  <c r="T17" i="7"/>
  <c r="S17" i="7"/>
  <c r="T16" i="7"/>
  <c r="S16" i="7"/>
  <c r="Q186" i="4" l="1"/>
  <c r="Q241" i="4" s="1"/>
  <c r="P186" i="4"/>
  <c r="P241" i="4" s="1"/>
  <c r="B288" i="6"/>
  <c r="C20" i="4"/>
  <c r="Q170" i="4"/>
  <c r="O186" i="4"/>
  <c r="O241" i="4" s="1"/>
  <c r="D20" i="4"/>
  <c r="B20" i="4"/>
  <c r="E16" i="6"/>
  <c r="E25" i="6" s="1"/>
  <c r="G94" i="6"/>
  <c r="G100" i="6"/>
  <c r="G142" i="6"/>
  <c r="G143" i="6" s="1"/>
  <c r="G16" i="6"/>
  <c r="G23" i="6"/>
  <c r="E94" i="6"/>
  <c r="E102" i="6" s="1"/>
  <c r="F64" i="6"/>
  <c r="F65" i="6" s="1"/>
  <c r="E136" i="6"/>
  <c r="E138" i="6" s="1"/>
  <c r="G111" i="6"/>
  <c r="D22" i="7" s="1"/>
  <c r="E33" i="6"/>
  <c r="E41" i="6" s="1"/>
  <c r="F133" i="6"/>
  <c r="F136" i="6" s="1"/>
  <c r="F138" i="6" s="1"/>
  <c r="C26" i="7" s="1"/>
  <c r="G150" i="6"/>
  <c r="F145" i="6"/>
  <c r="F148" i="6" s="1"/>
  <c r="F153" i="6" s="1"/>
  <c r="C27" i="7" s="1"/>
  <c r="E143" i="6"/>
  <c r="E153" i="6" s="1"/>
  <c r="F55" i="6"/>
  <c r="G55" i="6" s="1"/>
  <c r="G54" i="6"/>
  <c r="E57" i="6"/>
  <c r="E59" i="6" s="1"/>
  <c r="S24" i="7"/>
  <c r="T24" i="7"/>
  <c r="S25" i="7"/>
  <c r="E73" i="6"/>
  <c r="G114" i="6"/>
  <c r="D23" i="7" s="1"/>
  <c r="T23" i="7" s="1"/>
  <c r="T25" i="7"/>
  <c r="G28" i="6"/>
  <c r="G33" i="6" s="1"/>
  <c r="G41" i="6" s="1"/>
  <c r="D12" i="7" s="1"/>
  <c r="S12" i="7" s="1"/>
  <c r="F25" i="6"/>
  <c r="C11" i="7" s="1"/>
  <c r="D19" i="4" l="1"/>
  <c r="B19" i="4"/>
  <c r="C19" i="4"/>
  <c r="G153" i="6"/>
  <c r="D27" i="7" s="1"/>
  <c r="T27" i="7" s="1"/>
  <c r="G25" i="6"/>
  <c r="D11" i="7" s="1"/>
  <c r="S11" i="7" s="1"/>
  <c r="G102" i="6"/>
  <c r="D19" i="7" s="1"/>
  <c r="T19" i="7" s="1"/>
  <c r="F73" i="6"/>
  <c r="C14" i="7" s="1"/>
  <c r="P29" i="7"/>
  <c r="P39" i="7" s="1"/>
  <c r="P156" i="4" s="1"/>
  <c r="L29" i="7"/>
  <c r="L39" i="7" s="1"/>
  <c r="H29" i="7"/>
  <c r="H39" i="7" s="1"/>
  <c r="M29" i="7"/>
  <c r="M39" i="7" s="1"/>
  <c r="I29" i="7"/>
  <c r="I39" i="7" s="1"/>
  <c r="E29" i="7"/>
  <c r="E39" i="7" s="1"/>
  <c r="O29" i="7"/>
  <c r="O39" i="7" s="1"/>
  <c r="O156" i="4" s="1"/>
  <c r="K29" i="7"/>
  <c r="K39" i="7" s="1"/>
  <c r="G29" i="7"/>
  <c r="G39" i="7" s="1"/>
  <c r="N29" i="7"/>
  <c r="N39" i="7" s="1"/>
  <c r="F29" i="7"/>
  <c r="F39" i="7" s="1"/>
  <c r="J29" i="7"/>
  <c r="J39" i="7" s="1"/>
  <c r="G64" i="6"/>
  <c r="G65" i="6" s="1"/>
  <c r="G73" i="6" s="1"/>
  <c r="D14" i="7" s="1"/>
  <c r="T11" i="7"/>
  <c r="S19" i="7"/>
  <c r="F57" i="6"/>
  <c r="F59" i="6" s="1"/>
  <c r="C13" i="7" s="1"/>
  <c r="S27" i="7"/>
  <c r="T12" i="7"/>
  <c r="G133" i="6"/>
  <c r="G136" i="6" s="1"/>
  <c r="G138" i="6" s="1"/>
  <c r="D26" i="7" s="1"/>
  <c r="G57" i="6"/>
  <c r="G59" i="6" s="1"/>
  <c r="D13" i="7" s="1"/>
  <c r="S23" i="7"/>
  <c r="O170" i="4" l="1"/>
  <c r="P170" i="4"/>
  <c r="C39" i="7"/>
  <c r="S14" i="7"/>
  <c r="S29" i="7"/>
  <c r="T13" i="7"/>
  <c r="T14" i="7"/>
  <c r="D39" i="7"/>
  <c r="S13" i="7"/>
  <c r="S141" i="4" l="1"/>
  <c r="D27" i="4"/>
  <c r="D30" i="4" s="1"/>
  <c r="C27" i="4"/>
  <c r="C28" i="4" s="1"/>
  <c r="B27" i="4"/>
  <c r="B28" i="4" s="1"/>
  <c r="H4" i="6"/>
  <c r="A3" i="6"/>
  <c r="A2" i="6"/>
  <c r="D28" i="4" l="1"/>
  <c r="D32" i="4" s="1"/>
  <c r="B30" i="4"/>
  <c r="B32" i="4" s="1"/>
  <c r="C30" i="4"/>
  <c r="C32" i="4" s="1"/>
  <c r="R607" i="3" l="1"/>
  <c r="A606" i="3"/>
  <c r="A605" i="3"/>
  <c r="B79" i="1" l="1"/>
  <c r="E242" i="6" s="1"/>
  <c r="D216" i="7"/>
  <c r="C216" i="7"/>
  <c r="B216" i="7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D10" i="4"/>
  <c r="C10" i="4"/>
  <c r="R4" i="4"/>
  <c r="B10" i="4"/>
  <c r="H164" i="6"/>
  <c r="A163" i="6"/>
  <c r="A162" i="6"/>
  <c r="R76" i="7"/>
  <c r="R69" i="7"/>
  <c r="D69" i="7"/>
  <c r="C69" i="7"/>
  <c r="B69" i="7"/>
  <c r="R47" i="7"/>
  <c r="S37" i="7"/>
  <c r="S36" i="7"/>
  <c r="S35" i="7"/>
  <c r="S34" i="7"/>
  <c r="S33" i="7"/>
  <c r="S32" i="7"/>
  <c r="S26" i="7"/>
  <c r="S22" i="7"/>
  <c r="S20" i="7"/>
  <c r="S10" i="7"/>
  <c r="S8" i="7"/>
  <c r="Q26" i="3"/>
  <c r="P26" i="3"/>
  <c r="O26" i="3"/>
  <c r="N26" i="3"/>
  <c r="M26" i="3"/>
  <c r="L26" i="3"/>
  <c r="K26" i="3"/>
  <c r="J26" i="3"/>
  <c r="I26" i="3"/>
  <c r="H26" i="3"/>
  <c r="G26" i="3"/>
  <c r="F26" i="3"/>
  <c r="Q25" i="3"/>
  <c r="P25" i="3"/>
  <c r="O25" i="3"/>
  <c r="N25" i="3"/>
  <c r="M25" i="3"/>
  <c r="L25" i="3"/>
  <c r="K25" i="3"/>
  <c r="J25" i="3"/>
  <c r="I25" i="3"/>
  <c r="H25" i="3"/>
  <c r="G25" i="3"/>
  <c r="F25" i="3"/>
  <c r="Q24" i="3"/>
  <c r="P24" i="3"/>
  <c r="O24" i="3"/>
  <c r="N24" i="3"/>
  <c r="M24" i="3"/>
  <c r="L24" i="3"/>
  <c r="K24" i="3"/>
  <c r="J24" i="3"/>
  <c r="I24" i="3"/>
  <c r="H24" i="3"/>
  <c r="G24" i="3"/>
  <c r="F24" i="3"/>
  <c r="Q23" i="3"/>
  <c r="P23" i="3"/>
  <c r="O23" i="3"/>
  <c r="N23" i="3"/>
  <c r="M23" i="3"/>
  <c r="L23" i="3"/>
  <c r="K23" i="3"/>
  <c r="J23" i="3"/>
  <c r="I23" i="3"/>
  <c r="H23" i="3"/>
  <c r="G23" i="3"/>
  <c r="F23" i="3"/>
  <c r="Q22" i="3"/>
  <c r="P22" i="3"/>
  <c r="O22" i="3"/>
  <c r="N22" i="3"/>
  <c r="M22" i="3"/>
  <c r="L22" i="3"/>
  <c r="K22" i="3"/>
  <c r="J22" i="3"/>
  <c r="I22" i="3"/>
  <c r="H22" i="3"/>
  <c r="G22" i="3"/>
  <c r="F22" i="3"/>
  <c r="Q21" i="3"/>
  <c r="P21" i="3"/>
  <c r="O21" i="3"/>
  <c r="N21" i="3"/>
  <c r="M21" i="3"/>
  <c r="L21" i="3"/>
  <c r="K21" i="3"/>
  <c r="J21" i="3"/>
  <c r="I21" i="3"/>
  <c r="H21" i="3"/>
  <c r="G21" i="3"/>
  <c r="F21" i="3"/>
  <c r="Q20" i="3"/>
  <c r="P20" i="3"/>
  <c r="O20" i="3"/>
  <c r="N20" i="3"/>
  <c r="M20" i="3"/>
  <c r="L20" i="3"/>
  <c r="K20" i="3"/>
  <c r="J20" i="3"/>
  <c r="I20" i="3"/>
  <c r="H20" i="3"/>
  <c r="G20" i="3"/>
  <c r="F20" i="3"/>
  <c r="Q19" i="3"/>
  <c r="P19" i="3"/>
  <c r="O19" i="3"/>
  <c r="N19" i="3"/>
  <c r="M19" i="3"/>
  <c r="L19" i="3"/>
  <c r="K19" i="3"/>
  <c r="J19" i="3"/>
  <c r="I19" i="3"/>
  <c r="H19" i="3"/>
  <c r="G19" i="3"/>
  <c r="F19" i="3"/>
  <c r="Q18" i="3"/>
  <c r="P18" i="3"/>
  <c r="O18" i="3"/>
  <c r="N18" i="3"/>
  <c r="M18" i="3"/>
  <c r="L18" i="3"/>
  <c r="K18" i="3"/>
  <c r="J18" i="3"/>
  <c r="I18" i="3"/>
  <c r="H18" i="3"/>
  <c r="G18" i="3"/>
  <c r="F18" i="3"/>
  <c r="Q59" i="3"/>
  <c r="P59" i="3"/>
  <c r="O59" i="3"/>
  <c r="N59" i="3"/>
  <c r="M59" i="3"/>
  <c r="L59" i="3"/>
  <c r="K59" i="3"/>
  <c r="J59" i="3"/>
  <c r="I59" i="3"/>
  <c r="H59" i="3"/>
  <c r="G59" i="3"/>
  <c r="F59" i="3"/>
  <c r="Q58" i="3"/>
  <c r="P58" i="3"/>
  <c r="O58" i="3"/>
  <c r="N58" i="3"/>
  <c r="M58" i="3"/>
  <c r="L58" i="3"/>
  <c r="K58" i="3"/>
  <c r="J58" i="3"/>
  <c r="I58" i="3"/>
  <c r="H58" i="3"/>
  <c r="G58" i="3"/>
  <c r="F58" i="3"/>
  <c r="Q57" i="3"/>
  <c r="P57" i="3"/>
  <c r="O57" i="3"/>
  <c r="N57" i="3"/>
  <c r="M57" i="3"/>
  <c r="L57" i="3"/>
  <c r="K57" i="3"/>
  <c r="J57" i="3"/>
  <c r="I57" i="3"/>
  <c r="H57" i="3"/>
  <c r="G57" i="3"/>
  <c r="F57" i="3"/>
  <c r="Q56" i="3"/>
  <c r="P56" i="3"/>
  <c r="O56" i="3"/>
  <c r="N56" i="3"/>
  <c r="M56" i="3"/>
  <c r="L56" i="3"/>
  <c r="K56" i="3"/>
  <c r="J56" i="3"/>
  <c r="I56" i="3"/>
  <c r="H56" i="3"/>
  <c r="G56" i="3"/>
  <c r="F56" i="3"/>
  <c r="Q55" i="3"/>
  <c r="P55" i="3"/>
  <c r="O55" i="3"/>
  <c r="N55" i="3"/>
  <c r="M55" i="3"/>
  <c r="L55" i="3"/>
  <c r="K55" i="3"/>
  <c r="J55" i="3"/>
  <c r="I55" i="3"/>
  <c r="H55" i="3"/>
  <c r="G55" i="3"/>
  <c r="F55" i="3"/>
  <c r="Q54" i="3"/>
  <c r="P54" i="3"/>
  <c r="O54" i="3"/>
  <c r="N54" i="3"/>
  <c r="M54" i="3"/>
  <c r="L54" i="3"/>
  <c r="K54" i="3"/>
  <c r="J54" i="3"/>
  <c r="I54" i="3"/>
  <c r="H54" i="3"/>
  <c r="G54" i="3"/>
  <c r="F54" i="3"/>
  <c r="Q53" i="3"/>
  <c r="P53" i="3"/>
  <c r="O53" i="3"/>
  <c r="N53" i="3"/>
  <c r="M53" i="3"/>
  <c r="L53" i="3"/>
  <c r="K53" i="3"/>
  <c r="J53" i="3"/>
  <c r="I53" i="3"/>
  <c r="H53" i="3"/>
  <c r="G53" i="3"/>
  <c r="F53" i="3"/>
  <c r="Q52" i="3"/>
  <c r="P52" i="3"/>
  <c r="O52" i="3"/>
  <c r="N52" i="3"/>
  <c r="M52" i="3"/>
  <c r="L52" i="3"/>
  <c r="K52" i="3"/>
  <c r="J52" i="3"/>
  <c r="I52" i="3"/>
  <c r="H52" i="3"/>
  <c r="G52" i="3"/>
  <c r="F52" i="3"/>
  <c r="Q51" i="3"/>
  <c r="P51" i="3"/>
  <c r="O51" i="3"/>
  <c r="N51" i="3"/>
  <c r="M51" i="3"/>
  <c r="L51" i="3"/>
  <c r="K51" i="3"/>
  <c r="J51" i="3"/>
  <c r="I51" i="3"/>
  <c r="H51" i="3"/>
  <c r="G51" i="3"/>
  <c r="F51" i="3"/>
  <c r="Q50" i="3"/>
  <c r="P50" i="3"/>
  <c r="O50" i="3"/>
  <c r="N50" i="3"/>
  <c r="M50" i="3"/>
  <c r="L50" i="3"/>
  <c r="K50" i="3"/>
  <c r="J50" i="3"/>
  <c r="I50" i="3"/>
  <c r="H50" i="3"/>
  <c r="G50" i="3"/>
  <c r="F50" i="3"/>
  <c r="Q49" i="3"/>
  <c r="P49" i="3"/>
  <c r="O49" i="3"/>
  <c r="N49" i="3"/>
  <c r="M49" i="3"/>
  <c r="L49" i="3"/>
  <c r="K49" i="3"/>
  <c r="J49" i="3"/>
  <c r="I49" i="3"/>
  <c r="H49" i="3"/>
  <c r="G49" i="3"/>
  <c r="F49" i="3"/>
  <c r="Q48" i="3"/>
  <c r="P48" i="3"/>
  <c r="O48" i="3"/>
  <c r="N48" i="3"/>
  <c r="M48" i="3"/>
  <c r="L48" i="3"/>
  <c r="K48" i="3"/>
  <c r="J48" i="3"/>
  <c r="I48" i="3"/>
  <c r="H48" i="3"/>
  <c r="G48" i="3"/>
  <c r="F48" i="3"/>
  <c r="Q47" i="3"/>
  <c r="P47" i="3"/>
  <c r="O47" i="3"/>
  <c r="N47" i="3"/>
  <c r="M47" i="3"/>
  <c r="L47" i="3"/>
  <c r="K47" i="3"/>
  <c r="J47" i="3"/>
  <c r="I47" i="3"/>
  <c r="H47" i="3"/>
  <c r="G47" i="3"/>
  <c r="F47" i="3"/>
  <c r="Q46" i="3"/>
  <c r="P46" i="3"/>
  <c r="O46" i="3"/>
  <c r="N46" i="3"/>
  <c r="M46" i="3"/>
  <c r="L46" i="3"/>
  <c r="K46" i="3"/>
  <c r="J46" i="3"/>
  <c r="I46" i="3"/>
  <c r="H46" i="3"/>
  <c r="G46" i="3"/>
  <c r="F46" i="3"/>
  <c r="Q45" i="3"/>
  <c r="P45" i="3"/>
  <c r="O45" i="3"/>
  <c r="N45" i="3"/>
  <c r="M45" i="3"/>
  <c r="L45" i="3"/>
  <c r="K45" i="3"/>
  <c r="J45" i="3"/>
  <c r="I45" i="3"/>
  <c r="H45" i="3"/>
  <c r="G45" i="3"/>
  <c r="F45" i="3"/>
  <c r="Q44" i="3"/>
  <c r="P44" i="3"/>
  <c r="O44" i="3"/>
  <c r="N44" i="3"/>
  <c r="M44" i="3"/>
  <c r="L44" i="3"/>
  <c r="K44" i="3"/>
  <c r="J44" i="3"/>
  <c r="I44" i="3"/>
  <c r="H44" i="3"/>
  <c r="G44" i="3"/>
  <c r="F44" i="3"/>
  <c r="Q43" i="3"/>
  <c r="P43" i="3"/>
  <c r="O43" i="3"/>
  <c r="N43" i="3"/>
  <c r="M43" i="3"/>
  <c r="L43" i="3"/>
  <c r="K43" i="3"/>
  <c r="J43" i="3"/>
  <c r="I43" i="3"/>
  <c r="H43" i="3"/>
  <c r="G43" i="3"/>
  <c r="F43" i="3"/>
  <c r="Q42" i="3"/>
  <c r="P42" i="3"/>
  <c r="O42" i="3"/>
  <c r="N42" i="3"/>
  <c r="M42" i="3"/>
  <c r="L42" i="3"/>
  <c r="K42" i="3"/>
  <c r="J42" i="3"/>
  <c r="I42" i="3"/>
  <c r="H42" i="3"/>
  <c r="G42" i="3"/>
  <c r="F42" i="3"/>
  <c r="Q41" i="3"/>
  <c r="P41" i="3"/>
  <c r="O41" i="3"/>
  <c r="N41" i="3"/>
  <c r="M41" i="3"/>
  <c r="L41" i="3"/>
  <c r="K41" i="3"/>
  <c r="J41" i="3"/>
  <c r="I41" i="3"/>
  <c r="H41" i="3"/>
  <c r="G41" i="3"/>
  <c r="F41" i="3"/>
  <c r="Q40" i="3"/>
  <c r="P40" i="3"/>
  <c r="O40" i="3"/>
  <c r="N40" i="3"/>
  <c r="M40" i="3"/>
  <c r="L40" i="3"/>
  <c r="K40" i="3"/>
  <c r="J40" i="3"/>
  <c r="I40" i="3"/>
  <c r="H40" i="3"/>
  <c r="G40" i="3"/>
  <c r="F40" i="3"/>
  <c r="Q39" i="3"/>
  <c r="P39" i="3"/>
  <c r="O39" i="3"/>
  <c r="N39" i="3"/>
  <c r="M39" i="3"/>
  <c r="L39" i="3"/>
  <c r="K39" i="3"/>
  <c r="J39" i="3"/>
  <c r="I39" i="3"/>
  <c r="H39" i="3"/>
  <c r="G39" i="3"/>
  <c r="F39" i="3"/>
  <c r="Q38" i="3"/>
  <c r="P38" i="3"/>
  <c r="O38" i="3"/>
  <c r="N38" i="3"/>
  <c r="M38" i="3"/>
  <c r="L38" i="3"/>
  <c r="K38" i="3"/>
  <c r="J38" i="3"/>
  <c r="I38" i="3"/>
  <c r="H38" i="3"/>
  <c r="G38" i="3"/>
  <c r="F38" i="3"/>
  <c r="Q37" i="3"/>
  <c r="P37" i="3"/>
  <c r="O37" i="3"/>
  <c r="N37" i="3"/>
  <c r="M37" i="3"/>
  <c r="L37" i="3"/>
  <c r="K37" i="3"/>
  <c r="J37" i="3"/>
  <c r="I37" i="3"/>
  <c r="H37" i="3"/>
  <c r="G37" i="3"/>
  <c r="F37" i="3"/>
  <c r="Q36" i="3"/>
  <c r="P36" i="3"/>
  <c r="O36" i="3"/>
  <c r="N36" i="3"/>
  <c r="M36" i="3"/>
  <c r="L36" i="3"/>
  <c r="K36" i="3"/>
  <c r="J36" i="3"/>
  <c r="I36" i="3"/>
  <c r="H36" i="3"/>
  <c r="G36" i="3"/>
  <c r="F36" i="3"/>
  <c r="Q35" i="3"/>
  <c r="P35" i="3"/>
  <c r="O35" i="3"/>
  <c r="N35" i="3"/>
  <c r="M35" i="3"/>
  <c r="L35" i="3"/>
  <c r="K35" i="3"/>
  <c r="J35" i="3"/>
  <c r="I35" i="3"/>
  <c r="H35" i="3"/>
  <c r="G35" i="3"/>
  <c r="F35" i="3"/>
  <c r="Q34" i="3"/>
  <c r="P34" i="3"/>
  <c r="O34" i="3"/>
  <c r="N34" i="3"/>
  <c r="M34" i="3"/>
  <c r="L34" i="3"/>
  <c r="K34" i="3"/>
  <c r="J34" i="3"/>
  <c r="I34" i="3"/>
  <c r="H34" i="3"/>
  <c r="G34" i="3"/>
  <c r="F34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26" i="3"/>
  <c r="E25" i="3"/>
  <c r="E24" i="3"/>
  <c r="E23" i="3"/>
  <c r="E22" i="3"/>
  <c r="E21" i="3"/>
  <c r="E20" i="3"/>
  <c r="E19" i="3"/>
  <c r="E18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2" i="3"/>
  <c r="T31" i="3"/>
  <c r="T30" i="3"/>
  <c r="T29" i="3"/>
  <c r="T26" i="3"/>
  <c r="T25" i="3"/>
  <c r="T24" i="3"/>
  <c r="T23" i="3"/>
  <c r="T22" i="3"/>
  <c r="T21" i="3"/>
  <c r="T20" i="3"/>
  <c r="T19" i="3"/>
  <c r="T18" i="3"/>
  <c r="T10" i="3"/>
  <c r="T9" i="3"/>
  <c r="C61" i="3"/>
  <c r="B61" i="3"/>
  <c r="S31" i="3"/>
  <c r="S30" i="3"/>
  <c r="S29" i="3"/>
  <c r="S10" i="3"/>
  <c r="S9" i="3"/>
  <c r="R4" i="3"/>
  <c r="A3" i="3"/>
  <c r="A2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S96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S76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S95" i="3"/>
  <c r="S94" i="3"/>
  <c r="E90" i="3"/>
  <c r="E89" i="3"/>
  <c r="E88" i="3"/>
  <c r="E87" i="3"/>
  <c r="E86" i="3"/>
  <c r="E85" i="3"/>
  <c r="E84" i="3"/>
  <c r="E83" i="3"/>
  <c r="E82" i="3"/>
  <c r="S73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G97" i="3" s="1"/>
  <c r="T96" i="3"/>
  <c r="T95" i="3"/>
  <c r="T94" i="3"/>
  <c r="T93" i="3"/>
  <c r="T90" i="3"/>
  <c r="T89" i="3"/>
  <c r="T88" i="3"/>
  <c r="T87" i="3"/>
  <c r="T86" i="3"/>
  <c r="T85" i="3"/>
  <c r="T84" i="3"/>
  <c r="T83" i="3"/>
  <c r="T82" i="3"/>
  <c r="T76" i="3"/>
  <c r="T75" i="3"/>
  <c r="T74" i="3"/>
  <c r="T73" i="3"/>
  <c r="C125" i="3"/>
  <c r="B125" i="3"/>
  <c r="S93" i="3"/>
  <c r="S75" i="3"/>
  <c r="R68" i="3"/>
  <c r="A67" i="3"/>
  <c r="A66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S142" i="3"/>
  <c r="S141" i="3"/>
  <c r="S140" i="3"/>
  <c r="S139" i="3"/>
  <c r="S13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61" i="3"/>
  <c r="E160" i="3"/>
  <c r="E159" i="3"/>
  <c r="E158" i="3"/>
  <c r="E157" i="3"/>
  <c r="E154" i="3"/>
  <c r="E153" i="3"/>
  <c r="E152" i="3"/>
  <c r="E151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4" i="3"/>
  <c r="T153" i="3"/>
  <c r="T152" i="3"/>
  <c r="T151" i="3"/>
  <c r="T143" i="3"/>
  <c r="T142" i="3"/>
  <c r="T141" i="3"/>
  <c r="T140" i="3"/>
  <c r="T139" i="3"/>
  <c r="T138" i="3"/>
  <c r="T137" i="3"/>
  <c r="C189" i="3"/>
  <c r="B189" i="3"/>
  <c r="S143" i="3"/>
  <c r="R132" i="3"/>
  <c r="A131" i="3"/>
  <c r="A130" i="3"/>
  <c r="R520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25" i="3"/>
  <c r="E224" i="3"/>
  <c r="E223" i="3"/>
  <c r="E222" i="3"/>
  <c r="E221" i="3"/>
  <c r="E218" i="3"/>
  <c r="E217" i="3"/>
  <c r="E216" i="3"/>
  <c r="E208" i="3"/>
  <c r="E207" i="3"/>
  <c r="E206" i="3"/>
  <c r="E205" i="3"/>
  <c r="E204" i="3"/>
  <c r="E203" i="3"/>
  <c r="E202" i="3"/>
  <c r="E201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25" i="3"/>
  <c r="T224" i="3"/>
  <c r="T223" i="3"/>
  <c r="T222" i="3"/>
  <c r="T221" i="3"/>
  <c r="T218" i="3"/>
  <c r="T217" i="3"/>
  <c r="T216" i="3"/>
  <c r="T208" i="3"/>
  <c r="T207" i="3"/>
  <c r="T206" i="3"/>
  <c r="T205" i="3"/>
  <c r="T204" i="3"/>
  <c r="T203" i="3"/>
  <c r="T202" i="3"/>
  <c r="T201" i="3"/>
  <c r="D253" i="3"/>
  <c r="C253" i="3"/>
  <c r="B253" i="3"/>
  <c r="R196" i="3"/>
  <c r="A195" i="3"/>
  <c r="A194" i="3"/>
  <c r="U315" i="3"/>
  <c r="T315" i="3"/>
  <c r="U314" i="3"/>
  <c r="T314" i="3"/>
  <c r="U313" i="3"/>
  <c r="T313" i="3"/>
  <c r="U312" i="3"/>
  <c r="T312" i="3"/>
  <c r="U311" i="3"/>
  <c r="T311" i="3"/>
  <c r="U310" i="3"/>
  <c r="T310" i="3"/>
  <c r="U309" i="3"/>
  <c r="T309" i="3"/>
  <c r="U308" i="3"/>
  <c r="T308" i="3"/>
  <c r="U307" i="3"/>
  <c r="T307" i="3"/>
  <c r="U306" i="3"/>
  <c r="T306" i="3"/>
  <c r="U305" i="3"/>
  <c r="T305" i="3"/>
  <c r="U304" i="3"/>
  <c r="T304" i="3"/>
  <c r="U303" i="3"/>
  <c r="T303" i="3"/>
  <c r="U302" i="3"/>
  <c r="T302" i="3"/>
  <c r="U289" i="3"/>
  <c r="T289" i="3"/>
  <c r="U288" i="3"/>
  <c r="T288" i="3"/>
  <c r="U287" i="3"/>
  <c r="T287" i="3"/>
  <c r="U286" i="3"/>
  <c r="T286" i="3"/>
  <c r="U285" i="3"/>
  <c r="T285" i="3"/>
  <c r="U282" i="3"/>
  <c r="T282" i="3"/>
  <c r="U281" i="3"/>
  <c r="T281" i="3"/>
  <c r="U280" i="3"/>
  <c r="T280" i="3"/>
  <c r="U272" i="3"/>
  <c r="T272" i="3"/>
  <c r="U271" i="3"/>
  <c r="T271" i="3"/>
  <c r="U270" i="3"/>
  <c r="T270" i="3"/>
  <c r="U269" i="3"/>
  <c r="T269" i="3"/>
  <c r="U268" i="3"/>
  <c r="T268" i="3"/>
  <c r="U267" i="3"/>
  <c r="T267" i="3"/>
  <c r="U266" i="3"/>
  <c r="T266" i="3"/>
  <c r="U265" i="3"/>
  <c r="T265" i="3"/>
  <c r="D317" i="3"/>
  <c r="D318" i="3" s="1"/>
  <c r="C317" i="3"/>
  <c r="C318" i="3" s="1"/>
  <c r="B317" i="3"/>
  <c r="B318" i="3" s="1"/>
  <c r="R260" i="3"/>
  <c r="A259" i="3"/>
  <c r="A258" i="3"/>
  <c r="U380" i="3"/>
  <c r="U379" i="3"/>
  <c r="U378" i="3"/>
  <c r="U377" i="3"/>
  <c r="U376" i="3"/>
  <c r="U375" i="3"/>
  <c r="U374" i="3"/>
  <c r="U373" i="3"/>
  <c r="U372" i="3"/>
  <c r="U371" i="3"/>
  <c r="U370" i="3"/>
  <c r="U369" i="3"/>
  <c r="U368" i="3"/>
  <c r="U367" i="3"/>
  <c r="U354" i="3"/>
  <c r="U353" i="3"/>
  <c r="U352" i="3"/>
  <c r="U351" i="3"/>
  <c r="U350" i="3"/>
  <c r="U347" i="3"/>
  <c r="U346" i="3"/>
  <c r="U345" i="3"/>
  <c r="U337" i="3"/>
  <c r="U336" i="3"/>
  <c r="U335" i="3"/>
  <c r="U334" i="3"/>
  <c r="U333" i="3"/>
  <c r="U332" i="3"/>
  <c r="U331" i="3"/>
  <c r="U330" i="3"/>
  <c r="Q325" i="3"/>
  <c r="D382" i="3"/>
  <c r="D383" i="3" s="1"/>
  <c r="C382" i="3"/>
  <c r="C383" i="3" s="1"/>
  <c r="B382" i="3"/>
  <c r="B383" i="3" s="1"/>
  <c r="Q382" i="3"/>
  <c r="Q383" i="3" s="1"/>
  <c r="A324" i="3"/>
  <c r="A323" i="3"/>
  <c r="U445" i="3"/>
  <c r="T445" i="3"/>
  <c r="U444" i="3"/>
  <c r="T444" i="3"/>
  <c r="U443" i="3"/>
  <c r="T443" i="3"/>
  <c r="U442" i="3"/>
  <c r="T442" i="3"/>
  <c r="U441" i="3"/>
  <c r="T441" i="3"/>
  <c r="U440" i="3"/>
  <c r="T440" i="3"/>
  <c r="U439" i="3"/>
  <c r="T439" i="3"/>
  <c r="U438" i="3"/>
  <c r="T438" i="3"/>
  <c r="U437" i="3"/>
  <c r="T437" i="3"/>
  <c r="U436" i="3"/>
  <c r="T436" i="3"/>
  <c r="U435" i="3"/>
  <c r="T435" i="3"/>
  <c r="U434" i="3"/>
  <c r="T434" i="3"/>
  <c r="U433" i="3"/>
  <c r="T433" i="3"/>
  <c r="U432" i="3"/>
  <c r="T432" i="3"/>
  <c r="U419" i="3"/>
  <c r="T419" i="3"/>
  <c r="U418" i="3"/>
  <c r="T418" i="3"/>
  <c r="U417" i="3"/>
  <c r="T417" i="3"/>
  <c r="U416" i="3"/>
  <c r="T416" i="3"/>
  <c r="U415" i="3"/>
  <c r="T415" i="3"/>
  <c r="U412" i="3"/>
  <c r="T412" i="3"/>
  <c r="U411" i="3"/>
  <c r="T411" i="3"/>
  <c r="U410" i="3"/>
  <c r="T410" i="3"/>
  <c r="U402" i="3"/>
  <c r="T402" i="3"/>
  <c r="U401" i="3"/>
  <c r="T401" i="3"/>
  <c r="U400" i="3"/>
  <c r="T400" i="3"/>
  <c r="U399" i="3"/>
  <c r="T399" i="3"/>
  <c r="U398" i="3"/>
  <c r="T398" i="3"/>
  <c r="U397" i="3"/>
  <c r="T397" i="3"/>
  <c r="U396" i="3"/>
  <c r="T396" i="3"/>
  <c r="U395" i="3"/>
  <c r="T395" i="3"/>
  <c r="D447" i="3"/>
  <c r="D448" i="3" s="1"/>
  <c r="C447" i="3"/>
  <c r="C448" i="3" s="1"/>
  <c r="B447" i="3"/>
  <c r="B448" i="3" s="1"/>
  <c r="R390" i="3"/>
  <c r="A389" i="3"/>
  <c r="A388" i="3"/>
  <c r="P595" i="3"/>
  <c r="O595" i="3"/>
  <c r="N595" i="3"/>
  <c r="M595" i="3"/>
  <c r="L595" i="3"/>
  <c r="K595" i="3"/>
  <c r="J595" i="3"/>
  <c r="I595" i="3"/>
  <c r="H595" i="3"/>
  <c r="G595" i="3"/>
  <c r="F595" i="3"/>
  <c r="E595" i="3"/>
  <c r="P587" i="3"/>
  <c r="O587" i="3"/>
  <c r="N587" i="3"/>
  <c r="M587" i="3"/>
  <c r="L587" i="3"/>
  <c r="K587" i="3"/>
  <c r="J587" i="3"/>
  <c r="I587" i="3"/>
  <c r="H587" i="3"/>
  <c r="G587" i="3"/>
  <c r="F587" i="3"/>
  <c r="E587" i="3"/>
  <c r="C31" i="1"/>
  <c r="Q584" i="3"/>
  <c r="P584" i="3"/>
  <c r="P588" i="3" s="1"/>
  <c r="O584" i="3"/>
  <c r="O588" i="3" s="1"/>
  <c r="N584" i="3"/>
  <c r="N588" i="3" s="1"/>
  <c r="M584" i="3"/>
  <c r="M588" i="3" s="1"/>
  <c r="L584" i="3"/>
  <c r="L588" i="3" s="1"/>
  <c r="K584" i="3"/>
  <c r="K588" i="3" s="1"/>
  <c r="J584" i="3"/>
  <c r="J588" i="3" s="1"/>
  <c r="I584" i="3"/>
  <c r="I588" i="3" s="1"/>
  <c r="H584" i="3"/>
  <c r="H588" i="3" s="1"/>
  <c r="G584" i="3"/>
  <c r="G588" i="3" s="1"/>
  <c r="F584" i="3"/>
  <c r="F588" i="3" s="1"/>
  <c r="E584" i="3"/>
  <c r="E588" i="3" s="1"/>
  <c r="S577" i="3"/>
  <c r="P568" i="3"/>
  <c r="P567" i="3" s="1"/>
  <c r="O568" i="3"/>
  <c r="O567" i="3" s="1"/>
  <c r="N568" i="3"/>
  <c r="N567" i="3" s="1"/>
  <c r="M568" i="3"/>
  <c r="M567" i="3" s="1"/>
  <c r="L568" i="3"/>
  <c r="L567" i="3" s="1"/>
  <c r="K568" i="3"/>
  <c r="K567" i="3" s="1"/>
  <c r="J568" i="3"/>
  <c r="J567" i="3" s="1"/>
  <c r="I568" i="3"/>
  <c r="I567" i="3" s="1"/>
  <c r="H568" i="3"/>
  <c r="H567" i="3" s="1"/>
  <c r="G568" i="3"/>
  <c r="G567" i="3" s="1"/>
  <c r="F568" i="3"/>
  <c r="F567" i="3" s="1"/>
  <c r="E568" i="3"/>
  <c r="E567" i="3" s="1"/>
  <c r="P556" i="3"/>
  <c r="P555" i="3" s="1"/>
  <c r="O556" i="3"/>
  <c r="O555" i="3" s="1"/>
  <c r="N556" i="3"/>
  <c r="N555" i="3" s="1"/>
  <c r="M556" i="3"/>
  <c r="M555" i="3" s="1"/>
  <c r="L556" i="3"/>
  <c r="L555" i="3" s="1"/>
  <c r="K556" i="3"/>
  <c r="K555" i="3" s="1"/>
  <c r="J556" i="3"/>
  <c r="J555" i="3" s="1"/>
  <c r="I556" i="3"/>
  <c r="I555" i="3" s="1"/>
  <c r="H556" i="3"/>
  <c r="H555" i="3" s="1"/>
  <c r="G556" i="3"/>
  <c r="G555" i="3" s="1"/>
  <c r="F556" i="3"/>
  <c r="F555" i="3" s="1"/>
  <c r="E556" i="3"/>
  <c r="E555" i="3" s="1"/>
  <c r="U510" i="3"/>
  <c r="T510" i="3"/>
  <c r="N445" i="3" s="1"/>
  <c r="S510" i="3"/>
  <c r="S509" i="3"/>
  <c r="S508" i="3"/>
  <c r="S507" i="3"/>
  <c r="S506" i="3"/>
  <c r="S505" i="3"/>
  <c r="S504" i="3"/>
  <c r="S503" i="3"/>
  <c r="S502" i="3"/>
  <c r="S501" i="3"/>
  <c r="S500" i="3"/>
  <c r="S499" i="3"/>
  <c r="S498" i="3"/>
  <c r="S497" i="3"/>
  <c r="S484" i="3"/>
  <c r="S483" i="3"/>
  <c r="S482" i="3"/>
  <c r="S481" i="3"/>
  <c r="S480" i="3"/>
  <c r="S477" i="3"/>
  <c r="S476" i="3"/>
  <c r="S475" i="3"/>
  <c r="S467" i="3"/>
  <c r="S466" i="3"/>
  <c r="S465" i="3"/>
  <c r="S464" i="3"/>
  <c r="S463" i="3"/>
  <c r="S462" i="3"/>
  <c r="S461" i="3"/>
  <c r="S460" i="3"/>
  <c r="R455" i="3"/>
  <c r="D512" i="3"/>
  <c r="D513" i="3" s="1"/>
  <c r="C512" i="3"/>
  <c r="C513" i="3" s="1"/>
  <c r="U509" i="3"/>
  <c r="U508" i="3"/>
  <c r="U507" i="3"/>
  <c r="U506" i="3"/>
  <c r="U505" i="3"/>
  <c r="U504" i="3"/>
  <c r="U503" i="3"/>
  <c r="U502" i="3"/>
  <c r="U501" i="3"/>
  <c r="U500" i="3"/>
  <c r="U499" i="3"/>
  <c r="U498" i="3"/>
  <c r="U497" i="3"/>
  <c r="U496" i="3"/>
  <c r="U495" i="3"/>
  <c r="U494" i="3"/>
  <c r="U493" i="3"/>
  <c r="U492" i="3"/>
  <c r="U491" i="3"/>
  <c r="U490" i="3"/>
  <c r="U489" i="3"/>
  <c r="U488" i="3"/>
  <c r="U487" i="3"/>
  <c r="U486" i="3"/>
  <c r="U485" i="3"/>
  <c r="U484" i="3"/>
  <c r="U483" i="3"/>
  <c r="U482" i="3"/>
  <c r="U481" i="3"/>
  <c r="U480" i="3"/>
  <c r="U477" i="3"/>
  <c r="U476" i="3"/>
  <c r="U475" i="3"/>
  <c r="U474" i="3"/>
  <c r="U473" i="3"/>
  <c r="U472" i="3"/>
  <c r="U471" i="3"/>
  <c r="U470" i="3"/>
  <c r="U469" i="3"/>
  <c r="U468" i="3"/>
  <c r="U467" i="3"/>
  <c r="U466" i="3"/>
  <c r="U465" i="3"/>
  <c r="U464" i="3"/>
  <c r="U463" i="3"/>
  <c r="U462" i="3"/>
  <c r="U461" i="3"/>
  <c r="U460" i="3"/>
  <c r="T509" i="3"/>
  <c r="N444" i="3" s="1"/>
  <c r="T508" i="3"/>
  <c r="N443" i="3" s="1"/>
  <c r="T507" i="3"/>
  <c r="N442" i="3" s="1"/>
  <c r="T506" i="3"/>
  <c r="N441" i="3" s="1"/>
  <c r="T505" i="3"/>
  <c r="N440" i="3" s="1"/>
  <c r="T504" i="3"/>
  <c r="N439" i="3" s="1"/>
  <c r="T503" i="3"/>
  <c r="N438" i="3" s="1"/>
  <c r="T502" i="3"/>
  <c r="N437" i="3" s="1"/>
  <c r="T501" i="3"/>
  <c r="N436" i="3" s="1"/>
  <c r="T500" i="3"/>
  <c r="N435" i="3" s="1"/>
  <c r="T499" i="3"/>
  <c r="N434" i="3" s="1"/>
  <c r="T498" i="3"/>
  <c r="N433" i="3" s="1"/>
  <c r="T497" i="3"/>
  <c r="N432" i="3" s="1"/>
  <c r="T484" i="3"/>
  <c r="N419" i="3" s="1"/>
  <c r="T483" i="3"/>
  <c r="N418" i="3" s="1"/>
  <c r="T482" i="3"/>
  <c r="N417" i="3" s="1"/>
  <c r="T481" i="3"/>
  <c r="N416" i="3" s="1"/>
  <c r="T480" i="3"/>
  <c r="N415" i="3" s="1"/>
  <c r="T477" i="3"/>
  <c r="N412" i="3" s="1"/>
  <c r="T476" i="3"/>
  <c r="N411" i="3" s="1"/>
  <c r="T475" i="3"/>
  <c r="N410" i="3" s="1"/>
  <c r="T467" i="3"/>
  <c r="N402" i="3" s="1"/>
  <c r="T466" i="3"/>
  <c r="N401" i="3" s="1"/>
  <c r="T465" i="3"/>
  <c r="N400" i="3" s="1"/>
  <c r="T464" i="3"/>
  <c r="N399" i="3" s="1"/>
  <c r="T463" i="3"/>
  <c r="N398" i="3" s="1"/>
  <c r="T462" i="3"/>
  <c r="N397" i="3" s="1"/>
  <c r="T461" i="3"/>
  <c r="N396" i="3" s="1"/>
  <c r="T460" i="3"/>
  <c r="N395" i="3" s="1"/>
  <c r="B512" i="3"/>
  <c r="F90" i="1"/>
  <c r="B82" i="1"/>
  <c r="A454" i="3"/>
  <c r="A453" i="3"/>
  <c r="S180" i="3" l="1"/>
  <c r="S103" i="3"/>
  <c r="S107" i="3"/>
  <c r="S111" i="3"/>
  <c r="S115" i="3"/>
  <c r="S119" i="3"/>
  <c r="S123" i="3"/>
  <c r="F32" i="3"/>
  <c r="S32" i="3" s="1"/>
  <c r="S20" i="3"/>
  <c r="S43" i="3"/>
  <c r="S19" i="3"/>
  <c r="S34" i="3"/>
  <c r="S38" i="3"/>
  <c r="S42" i="3"/>
  <c r="S46" i="3"/>
  <c r="S50" i="3"/>
  <c r="S54" i="3"/>
  <c r="S58" i="3"/>
  <c r="S121" i="3"/>
  <c r="S24" i="3"/>
  <c r="S59" i="3"/>
  <c r="S88" i="3"/>
  <c r="S101" i="3"/>
  <c r="S108" i="3"/>
  <c r="S113" i="3"/>
  <c r="S117" i="3"/>
  <c r="S35" i="3"/>
  <c r="S51" i="3"/>
  <c r="S99" i="3"/>
  <c r="S179" i="3"/>
  <c r="S109" i="3"/>
  <c r="S36" i="3"/>
  <c r="S39" i="3"/>
  <c r="S40" i="3"/>
  <c r="S44" i="3"/>
  <c r="S47" i="3"/>
  <c r="S48" i="3"/>
  <c r="S52" i="3"/>
  <c r="S55" i="3"/>
  <c r="S56" i="3"/>
  <c r="S21" i="3"/>
  <c r="S25" i="3"/>
  <c r="S37" i="3"/>
  <c r="S41" i="3"/>
  <c r="S45" i="3"/>
  <c r="S49" i="3"/>
  <c r="S53" i="3"/>
  <c r="S57" i="3"/>
  <c r="S23" i="3"/>
  <c r="S84" i="3"/>
  <c r="S154" i="3"/>
  <c r="S174" i="3"/>
  <c r="S178" i="3"/>
  <c r="S182" i="3"/>
  <c r="S186" i="3"/>
  <c r="S83" i="3"/>
  <c r="S153" i="3"/>
  <c r="S151" i="3"/>
  <c r="S172" i="3"/>
  <c r="S176" i="3"/>
  <c r="S184" i="3"/>
  <c r="S100" i="3"/>
  <c r="S116" i="3"/>
  <c r="S18" i="3"/>
  <c r="S22" i="3"/>
  <c r="S26" i="3"/>
  <c r="S87" i="3"/>
  <c r="S152" i="3"/>
  <c r="S158" i="3"/>
  <c r="S85" i="3"/>
  <c r="S89" i="3"/>
  <c r="S102" i="3"/>
  <c r="S106" i="3"/>
  <c r="S110" i="3"/>
  <c r="S114" i="3"/>
  <c r="S118" i="3"/>
  <c r="S122" i="3"/>
  <c r="S187" i="3"/>
  <c r="S104" i="3"/>
  <c r="S105" i="3"/>
  <c r="S112" i="3"/>
  <c r="S120" i="3"/>
  <c r="S97" i="3"/>
  <c r="S74" i="3"/>
  <c r="S82" i="3"/>
  <c r="S86" i="3"/>
  <c r="S90" i="3"/>
  <c r="S243" i="3"/>
  <c r="S173" i="3"/>
  <c r="S177" i="3"/>
  <c r="S181" i="3"/>
  <c r="S185" i="3"/>
  <c r="S160" i="3"/>
  <c r="S175" i="3"/>
  <c r="S183" i="3"/>
  <c r="S159" i="3"/>
  <c r="S157" i="3"/>
  <c r="S161" i="3"/>
  <c r="S137" i="3"/>
  <c r="S242" i="3"/>
  <c r="S248" i="3"/>
  <c r="S223" i="3"/>
  <c r="S239" i="3"/>
  <c r="S222" i="3"/>
  <c r="S238" i="3"/>
  <c r="S246" i="3"/>
  <c r="S203" i="3"/>
  <c r="S207" i="3"/>
  <c r="S221" i="3"/>
  <c r="S225" i="3"/>
  <c r="S240" i="3"/>
  <c r="S241" i="3"/>
  <c r="S244" i="3"/>
  <c r="S245" i="3"/>
  <c r="S224" i="3"/>
  <c r="S247" i="3"/>
  <c r="S249" i="3"/>
  <c r="S250" i="3"/>
  <c r="S251" i="3"/>
  <c r="S202" i="3"/>
  <c r="S204" i="3"/>
  <c r="S205" i="3"/>
  <c r="S206" i="3"/>
  <c r="S208" i="3"/>
  <c r="S216" i="3"/>
  <c r="S217" i="3"/>
  <c r="S218" i="3"/>
  <c r="S201" i="3"/>
  <c r="E444" i="3"/>
  <c r="E436" i="3"/>
  <c r="E416" i="3"/>
  <c r="E395" i="3"/>
  <c r="M395" i="3"/>
  <c r="I396" i="3"/>
  <c r="Q396" i="3"/>
  <c r="M399" i="3"/>
  <c r="I400" i="3"/>
  <c r="Q400" i="3"/>
  <c r="M410" i="3"/>
  <c r="I411" i="3"/>
  <c r="Q411" i="3"/>
  <c r="M416" i="3"/>
  <c r="I417" i="3"/>
  <c r="Q417" i="3"/>
  <c r="M432" i="3"/>
  <c r="I433" i="3"/>
  <c r="Q433" i="3"/>
  <c r="M436" i="3"/>
  <c r="L437" i="3"/>
  <c r="L440" i="3"/>
  <c r="H441" i="3"/>
  <c r="I444" i="3"/>
  <c r="Q444" i="3"/>
  <c r="E411" i="3"/>
  <c r="L395" i="3"/>
  <c r="P396" i="3"/>
  <c r="H400" i="3"/>
  <c r="L410" i="3"/>
  <c r="P411" i="3"/>
  <c r="H417" i="3"/>
  <c r="P417" i="3"/>
  <c r="H433" i="3"/>
  <c r="P433" i="3"/>
  <c r="L436" i="3"/>
  <c r="H437" i="3"/>
  <c r="I440" i="3"/>
  <c r="Q440" i="3"/>
  <c r="H444" i="3"/>
  <c r="E410" i="3"/>
  <c r="E432" i="3"/>
  <c r="E440" i="3"/>
  <c r="I395" i="3"/>
  <c r="Q395" i="3"/>
  <c r="M396" i="3"/>
  <c r="I399" i="3"/>
  <c r="Q399" i="3"/>
  <c r="M400" i="3"/>
  <c r="I410" i="3"/>
  <c r="Q410" i="3"/>
  <c r="M411" i="3"/>
  <c r="I416" i="3"/>
  <c r="Q416" i="3"/>
  <c r="M417" i="3"/>
  <c r="I432" i="3"/>
  <c r="Q432" i="3"/>
  <c r="M433" i="3"/>
  <c r="I436" i="3"/>
  <c r="Q436" i="3"/>
  <c r="H440" i="3"/>
  <c r="P440" i="3"/>
  <c r="P441" i="3"/>
  <c r="M444" i="3"/>
  <c r="E433" i="3"/>
  <c r="E441" i="3"/>
  <c r="H396" i="3"/>
  <c r="L399" i="3"/>
  <c r="P400" i="3"/>
  <c r="H411" i="3"/>
  <c r="L416" i="3"/>
  <c r="L432" i="3"/>
  <c r="P444" i="3"/>
  <c r="E399" i="3"/>
  <c r="E417" i="3"/>
  <c r="E437" i="3"/>
  <c r="H395" i="3"/>
  <c r="P395" i="3"/>
  <c r="L396" i="3"/>
  <c r="H399" i="3"/>
  <c r="P399" i="3"/>
  <c r="L400" i="3"/>
  <c r="H410" i="3"/>
  <c r="P410" i="3"/>
  <c r="L411" i="3"/>
  <c r="H416" i="3"/>
  <c r="P416" i="3"/>
  <c r="L417" i="3"/>
  <c r="H432" i="3"/>
  <c r="P432" i="3"/>
  <c r="L433" i="3"/>
  <c r="H436" i="3"/>
  <c r="P436" i="3"/>
  <c r="P437" i="3"/>
  <c r="M440" i="3"/>
  <c r="L441" i="3"/>
  <c r="L444" i="3"/>
  <c r="E445" i="3"/>
  <c r="I397" i="3"/>
  <c r="M397" i="3"/>
  <c r="Q397" i="3"/>
  <c r="I398" i="3"/>
  <c r="M398" i="3"/>
  <c r="Q398" i="3"/>
  <c r="I401" i="3"/>
  <c r="M401" i="3"/>
  <c r="Q401" i="3"/>
  <c r="I402" i="3"/>
  <c r="M402" i="3"/>
  <c r="Q402" i="3"/>
  <c r="I412" i="3"/>
  <c r="M412" i="3"/>
  <c r="Q412" i="3"/>
  <c r="I415" i="3"/>
  <c r="M415" i="3"/>
  <c r="Q415" i="3"/>
  <c r="I418" i="3"/>
  <c r="M418" i="3"/>
  <c r="Q418" i="3"/>
  <c r="I419" i="3"/>
  <c r="M419" i="3"/>
  <c r="Q419" i="3"/>
  <c r="I434" i="3"/>
  <c r="M434" i="3"/>
  <c r="Q434" i="3"/>
  <c r="I435" i="3"/>
  <c r="M435" i="3"/>
  <c r="Q435" i="3"/>
  <c r="I437" i="3"/>
  <c r="M437" i="3"/>
  <c r="Q437" i="3"/>
  <c r="I438" i="3"/>
  <c r="M438" i="3"/>
  <c r="Q438" i="3"/>
  <c r="I439" i="3"/>
  <c r="M439" i="3"/>
  <c r="Q439" i="3"/>
  <c r="I441" i="3"/>
  <c r="M441" i="3"/>
  <c r="Q441" i="3"/>
  <c r="I442" i="3"/>
  <c r="M442" i="3"/>
  <c r="Q442" i="3"/>
  <c r="I443" i="3"/>
  <c r="M443" i="3"/>
  <c r="Q443" i="3"/>
  <c r="I445" i="3"/>
  <c r="M445" i="3"/>
  <c r="Q445" i="3"/>
  <c r="P397" i="3"/>
  <c r="P398" i="3"/>
  <c r="L402" i="3"/>
  <c r="L412" i="3"/>
  <c r="L415" i="3"/>
  <c r="H418" i="3"/>
  <c r="L418" i="3"/>
  <c r="P418" i="3"/>
  <c r="L419" i="3"/>
  <c r="H434" i="3"/>
  <c r="L434" i="3"/>
  <c r="P434" i="3"/>
  <c r="H435" i="3"/>
  <c r="L435" i="3"/>
  <c r="P435" i="3"/>
  <c r="H438" i="3"/>
  <c r="L438" i="3"/>
  <c r="P438" i="3"/>
  <c r="H439" i="3"/>
  <c r="L439" i="3"/>
  <c r="P439" i="3"/>
  <c r="H442" i="3"/>
  <c r="L442" i="3"/>
  <c r="P442" i="3"/>
  <c r="H443" i="3"/>
  <c r="L443" i="3"/>
  <c r="P443" i="3"/>
  <c r="H445" i="3"/>
  <c r="L445" i="3"/>
  <c r="P445" i="3"/>
  <c r="E402" i="3"/>
  <c r="L397" i="3"/>
  <c r="L398" i="3"/>
  <c r="H401" i="3"/>
  <c r="P401" i="3"/>
  <c r="P402" i="3"/>
  <c r="H415" i="3"/>
  <c r="H419" i="3"/>
  <c r="E397" i="3"/>
  <c r="E401" i="3"/>
  <c r="E415" i="3"/>
  <c r="E419" i="3"/>
  <c r="E435" i="3"/>
  <c r="E439" i="3"/>
  <c r="E443" i="3"/>
  <c r="G395" i="3"/>
  <c r="K395" i="3"/>
  <c r="O395" i="3"/>
  <c r="G396" i="3"/>
  <c r="K396" i="3"/>
  <c r="O396" i="3"/>
  <c r="G397" i="3"/>
  <c r="K397" i="3"/>
  <c r="O397" i="3"/>
  <c r="G398" i="3"/>
  <c r="K398" i="3"/>
  <c r="O398" i="3"/>
  <c r="G399" i="3"/>
  <c r="K399" i="3"/>
  <c r="O399" i="3"/>
  <c r="G400" i="3"/>
  <c r="K400" i="3"/>
  <c r="O400" i="3"/>
  <c r="G401" i="3"/>
  <c r="K401" i="3"/>
  <c r="O401" i="3"/>
  <c r="G402" i="3"/>
  <c r="K402" i="3"/>
  <c r="O402" i="3"/>
  <c r="G410" i="3"/>
  <c r="K410" i="3"/>
  <c r="O410" i="3"/>
  <c r="G411" i="3"/>
  <c r="K411" i="3"/>
  <c r="O411" i="3"/>
  <c r="G412" i="3"/>
  <c r="K412" i="3"/>
  <c r="O412" i="3"/>
  <c r="G415" i="3"/>
  <c r="K415" i="3"/>
  <c r="O415" i="3"/>
  <c r="G416" i="3"/>
  <c r="K416" i="3"/>
  <c r="O416" i="3"/>
  <c r="G417" i="3"/>
  <c r="K417" i="3"/>
  <c r="O417" i="3"/>
  <c r="G418" i="3"/>
  <c r="K418" i="3"/>
  <c r="O418" i="3"/>
  <c r="G419" i="3"/>
  <c r="K419" i="3"/>
  <c r="O419" i="3"/>
  <c r="G432" i="3"/>
  <c r="K432" i="3"/>
  <c r="O432" i="3"/>
  <c r="G433" i="3"/>
  <c r="K433" i="3"/>
  <c r="O433" i="3"/>
  <c r="G434" i="3"/>
  <c r="K434" i="3"/>
  <c r="O434" i="3"/>
  <c r="G435" i="3"/>
  <c r="K435" i="3"/>
  <c r="O435" i="3"/>
  <c r="G436" i="3"/>
  <c r="K436" i="3"/>
  <c r="O436" i="3"/>
  <c r="G437" i="3"/>
  <c r="K437" i="3"/>
  <c r="O437" i="3"/>
  <c r="G438" i="3"/>
  <c r="K438" i="3"/>
  <c r="O438" i="3"/>
  <c r="G439" i="3"/>
  <c r="K439" i="3"/>
  <c r="O439" i="3"/>
  <c r="G440" i="3"/>
  <c r="K440" i="3"/>
  <c r="O440" i="3"/>
  <c r="G441" i="3"/>
  <c r="K441" i="3"/>
  <c r="O441" i="3"/>
  <c r="G442" i="3"/>
  <c r="K442" i="3"/>
  <c r="O442" i="3"/>
  <c r="G443" i="3"/>
  <c r="K443" i="3"/>
  <c r="O443" i="3"/>
  <c r="G444" i="3"/>
  <c r="K444" i="3"/>
  <c r="O444" i="3"/>
  <c r="G445" i="3"/>
  <c r="K445" i="3"/>
  <c r="O445" i="3"/>
  <c r="E398" i="3"/>
  <c r="H397" i="3"/>
  <c r="H398" i="3"/>
  <c r="L401" i="3"/>
  <c r="H402" i="3"/>
  <c r="H412" i="3"/>
  <c r="P412" i="3"/>
  <c r="P415" i="3"/>
  <c r="P419" i="3"/>
  <c r="E396" i="3"/>
  <c r="E400" i="3"/>
  <c r="E412" i="3"/>
  <c r="E418" i="3"/>
  <c r="E434" i="3"/>
  <c r="E438" i="3"/>
  <c r="E442" i="3"/>
  <c r="F395" i="3"/>
  <c r="J395" i="3"/>
  <c r="F396" i="3"/>
  <c r="J396" i="3"/>
  <c r="F397" i="3"/>
  <c r="J397" i="3"/>
  <c r="F398" i="3"/>
  <c r="J398" i="3"/>
  <c r="F399" i="3"/>
  <c r="J399" i="3"/>
  <c r="F400" i="3"/>
  <c r="J400" i="3"/>
  <c r="F401" i="3"/>
  <c r="J401" i="3"/>
  <c r="F402" i="3"/>
  <c r="J402" i="3"/>
  <c r="F410" i="3"/>
  <c r="J410" i="3"/>
  <c r="F411" i="3"/>
  <c r="J411" i="3"/>
  <c r="F412" i="3"/>
  <c r="J412" i="3"/>
  <c r="F415" i="3"/>
  <c r="J415" i="3"/>
  <c r="F416" i="3"/>
  <c r="J416" i="3"/>
  <c r="F417" i="3"/>
  <c r="J417" i="3"/>
  <c r="F418" i="3"/>
  <c r="J418" i="3"/>
  <c r="F419" i="3"/>
  <c r="J419" i="3"/>
  <c r="F432" i="3"/>
  <c r="J432" i="3"/>
  <c r="F433" i="3"/>
  <c r="J433" i="3"/>
  <c r="F434" i="3"/>
  <c r="J434" i="3"/>
  <c r="F435" i="3"/>
  <c r="J435" i="3"/>
  <c r="F436" i="3"/>
  <c r="J436" i="3"/>
  <c r="F437" i="3"/>
  <c r="J437" i="3"/>
  <c r="F438" i="3"/>
  <c r="J438" i="3"/>
  <c r="F439" i="3"/>
  <c r="J439" i="3"/>
  <c r="F440" i="3"/>
  <c r="J440" i="3"/>
  <c r="F441" i="3"/>
  <c r="J441" i="3"/>
  <c r="F442" i="3"/>
  <c r="J442" i="3"/>
  <c r="F443" i="3"/>
  <c r="J443" i="3"/>
  <c r="F444" i="3"/>
  <c r="J444" i="3"/>
  <c r="F445" i="3"/>
  <c r="J445" i="3"/>
  <c r="B513" i="3"/>
  <c r="C32" i="1"/>
  <c r="B32" i="1"/>
  <c r="Q33" i="5"/>
  <c r="S35" i="5"/>
  <c r="S34" i="5"/>
  <c r="U44" i="5"/>
  <c r="U43" i="5"/>
  <c r="U42" i="5"/>
  <c r="U41" i="5"/>
  <c r="U40" i="5"/>
  <c r="U39" i="5"/>
  <c r="U38" i="5"/>
  <c r="U37" i="5"/>
  <c r="U36" i="5"/>
  <c r="U35" i="5"/>
  <c r="P34" i="5"/>
  <c r="B35" i="5"/>
  <c r="C35" i="5" s="1"/>
  <c r="T485" i="3" s="1"/>
  <c r="H35" i="5"/>
  <c r="J35" i="5"/>
  <c r="B36" i="5"/>
  <c r="C36" i="5" s="1"/>
  <c r="T486" i="3" s="1"/>
  <c r="H36" i="5"/>
  <c r="J36" i="5"/>
  <c r="B37" i="5"/>
  <c r="C37" i="5" s="1"/>
  <c r="T487" i="3" s="1"/>
  <c r="H37" i="5"/>
  <c r="J37" i="5"/>
  <c r="B38" i="5"/>
  <c r="C38" i="5" s="1"/>
  <c r="T488" i="3" s="1"/>
  <c r="H38" i="5"/>
  <c r="J38" i="5"/>
  <c r="B39" i="5"/>
  <c r="C39" i="5" s="1"/>
  <c r="T489" i="3" s="1"/>
  <c r="H39" i="5"/>
  <c r="J39" i="5"/>
  <c r="B40" i="5"/>
  <c r="C40" i="5" s="1"/>
  <c r="T490" i="3" s="1"/>
  <c r="H40" i="5"/>
  <c r="J40" i="5"/>
  <c r="B41" i="5"/>
  <c r="C41" i="5" s="1"/>
  <c r="T491" i="3" s="1"/>
  <c r="H41" i="5"/>
  <c r="J41" i="5"/>
  <c r="B42" i="5"/>
  <c r="C42" i="5" s="1"/>
  <c r="T492" i="3" s="1"/>
  <c r="H42" i="5"/>
  <c r="J42" i="5"/>
  <c r="B43" i="5"/>
  <c r="C43" i="5" s="1"/>
  <c r="T493" i="3" s="1"/>
  <c r="H43" i="5"/>
  <c r="J43" i="5"/>
  <c r="B44" i="5"/>
  <c r="C44" i="5" s="1"/>
  <c r="T494" i="3" s="1"/>
  <c r="H44" i="5"/>
  <c r="J44" i="5"/>
  <c r="B45" i="5"/>
  <c r="C45" i="5" s="1"/>
  <c r="T495" i="3" s="1"/>
  <c r="H45" i="5"/>
  <c r="J45" i="5"/>
  <c r="B46" i="5"/>
  <c r="C46" i="5" s="1"/>
  <c r="T496" i="3" s="1"/>
  <c r="H46" i="5"/>
  <c r="J46" i="5"/>
  <c r="K46" i="5" l="1"/>
  <c r="T237" i="3" s="1"/>
  <c r="K45" i="5"/>
  <c r="T236" i="3" s="1"/>
  <c r="K44" i="5"/>
  <c r="T235" i="3" s="1"/>
  <c r="K43" i="5"/>
  <c r="T234" i="3" s="1"/>
  <c r="K42" i="5"/>
  <c r="T233" i="3" s="1"/>
  <c r="K41" i="5"/>
  <c r="T232" i="3" s="1"/>
  <c r="K40" i="5"/>
  <c r="T231" i="3" s="1"/>
  <c r="K39" i="5"/>
  <c r="T230" i="3" s="1"/>
  <c r="K38" i="5"/>
  <c r="T229" i="3" s="1"/>
  <c r="K37" i="5"/>
  <c r="T228" i="3" s="1"/>
  <c r="K36" i="5"/>
  <c r="T227" i="3" s="1"/>
  <c r="K35" i="5"/>
  <c r="T226" i="3" s="1"/>
  <c r="Q34" i="5"/>
  <c r="T33" i="3"/>
  <c r="G33" i="3" s="1"/>
  <c r="S33" i="3" s="1"/>
  <c r="S396" i="3"/>
  <c r="S440" i="3"/>
  <c r="S444" i="3"/>
  <c r="S436" i="3"/>
  <c r="S432" i="3"/>
  <c r="S399" i="3"/>
  <c r="S395" i="3"/>
  <c r="S441" i="3"/>
  <c r="S437" i="3"/>
  <c r="S433" i="3"/>
  <c r="S402" i="3"/>
  <c r="S400" i="3"/>
  <c r="S398" i="3"/>
  <c r="S397" i="3"/>
  <c r="S417" i="3"/>
  <c r="Q496" i="3"/>
  <c r="S496" i="3" s="1"/>
  <c r="P494" i="3"/>
  <c r="S494" i="3" s="1"/>
  <c r="O492" i="3"/>
  <c r="S492" i="3" s="1"/>
  <c r="S434" i="3"/>
  <c r="S435" i="3"/>
  <c r="S445" i="3"/>
  <c r="S411" i="3"/>
  <c r="S438" i="3"/>
  <c r="S439" i="3"/>
  <c r="S401" i="3"/>
  <c r="S442" i="3"/>
  <c r="S412" i="3"/>
  <c r="S443" i="3"/>
  <c r="S415" i="3"/>
  <c r="S416" i="3"/>
  <c r="S410" i="3"/>
  <c r="S418" i="3"/>
  <c r="S419" i="3"/>
  <c r="D32" i="1"/>
  <c r="D30" i="1" s="1"/>
  <c r="D31" i="1" s="1"/>
  <c r="B31" i="1" s="1"/>
  <c r="L42" i="5"/>
  <c r="L46" i="5"/>
  <c r="L38" i="5"/>
  <c r="L45" i="5"/>
  <c r="L44" i="5"/>
  <c r="L43" i="5"/>
  <c r="L37" i="5"/>
  <c r="L36" i="5"/>
  <c r="L35" i="5"/>
  <c r="L41" i="5"/>
  <c r="L40" i="5"/>
  <c r="L39" i="5"/>
  <c r="M41" i="5" l="1"/>
  <c r="T426" i="3"/>
  <c r="T296" i="3"/>
  <c r="N46" i="5"/>
  <c r="T301" i="3"/>
  <c r="T431" i="3"/>
  <c r="M37" i="5"/>
  <c r="T422" i="3"/>
  <c r="T292" i="3"/>
  <c r="O43" i="5"/>
  <c r="T428" i="3"/>
  <c r="T298" i="3"/>
  <c r="N40" i="5"/>
  <c r="T295" i="3"/>
  <c r="T425" i="3"/>
  <c r="M38" i="5"/>
  <c r="T293" i="3"/>
  <c r="T423" i="3"/>
  <c r="O39" i="5"/>
  <c r="T424" i="3"/>
  <c r="T294" i="3"/>
  <c r="N36" i="5"/>
  <c r="T291" i="3"/>
  <c r="T421" i="3"/>
  <c r="M45" i="5"/>
  <c r="T430" i="3"/>
  <c r="T300" i="3"/>
  <c r="O35" i="5"/>
  <c r="T420" i="3"/>
  <c r="T290" i="3"/>
  <c r="N44" i="5"/>
  <c r="T299" i="3"/>
  <c r="T429" i="3"/>
  <c r="N42" i="5"/>
  <c r="T297" i="3"/>
  <c r="T427" i="3"/>
  <c r="O427" i="3" s="1"/>
  <c r="O42" i="5"/>
  <c r="M44" i="5"/>
  <c r="O38" i="5"/>
  <c r="M35" i="5"/>
  <c r="M36" i="5"/>
  <c r="M42" i="5"/>
  <c r="M46" i="5"/>
  <c r="O46" i="5"/>
  <c r="M40" i="5"/>
  <c r="N35" i="5"/>
  <c r="N38" i="5"/>
  <c r="N39" i="5"/>
  <c r="M39" i="5"/>
  <c r="M43" i="5"/>
  <c r="N43" i="5"/>
  <c r="O41" i="5"/>
  <c r="O37" i="5"/>
  <c r="O45" i="5"/>
  <c r="O40" i="5"/>
  <c r="N41" i="5"/>
  <c r="O36" i="5"/>
  <c r="N37" i="5"/>
  <c r="O44" i="5"/>
  <c r="N45" i="5"/>
  <c r="U294" i="3" l="1"/>
  <c r="U359" i="3"/>
  <c r="U424" i="3"/>
  <c r="U425" i="3"/>
  <c r="U295" i="3"/>
  <c r="U360" i="3"/>
  <c r="U421" i="3"/>
  <c r="U291" i="3"/>
  <c r="U356" i="3"/>
  <c r="J429" i="3"/>
  <c r="G429" i="3"/>
  <c r="M429" i="3"/>
  <c r="N429" i="3"/>
  <c r="K429" i="3"/>
  <c r="Q429" i="3"/>
  <c r="E429" i="3"/>
  <c r="O429" i="3"/>
  <c r="H429" i="3"/>
  <c r="F429" i="3"/>
  <c r="L429" i="3"/>
  <c r="I429" i="3"/>
  <c r="F420" i="3"/>
  <c r="P420" i="3"/>
  <c r="J420" i="3"/>
  <c r="K420" i="3"/>
  <c r="M420" i="3"/>
  <c r="O420" i="3"/>
  <c r="N420" i="3"/>
  <c r="Q420" i="3"/>
  <c r="E420" i="3"/>
  <c r="L420" i="3"/>
  <c r="U300" i="3"/>
  <c r="U430" i="3"/>
  <c r="U365" i="3"/>
  <c r="U296" i="3"/>
  <c r="U426" i="3"/>
  <c r="U361" i="3"/>
  <c r="U298" i="3"/>
  <c r="U363" i="3"/>
  <c r="U428" i="3"/>
  <c r="U362" i="3"/>
  <c r="U297" i="3"/>
  <c r="U427" i="3"/>
  <c r="U299" i="3"/>
  <c r="U364" i="3"/>
  <c r="U429" i="3"/>
  <c r="E430" i="3"/>
  <c r="L430" i="3"/>
  <c r="F430" i="3"/>
  <c r="G430" i="3"/>
  <c r="I430" i="3"/>
  <c r="J430" i="3"/>
  <c r="K430" i="3"/>
  <c r="M430" i="3"/>
  <c r="N430" i="3"/>
  <c r="O430" i="3"/>
  <c r="H430" i="3"/>
  <c r="J423" i="3"/>
  <c r="E423" i="3"/>
  <c r="M423" i="3"/>
  <c r="N423" i="3"/>
  <c r="G423" i="3"/>
  <c r="Q423" i="3"/>
  <c r="H423" i="3"/>
  <c r="O423" i="3"/>
  <c r="F423" i="3"/>
  <c r="P423" i="3"/>
  <c r="I423" i="3"/>
  <c r="F431" i="3"/>
  <c r="E431" i="3"/>
  <c r="M431" i="3"/>
  <c r="J431" i="3"/>
  <c r="G431" i="3"/>
  <c r="H431" i="3"/>
  <c r="K431" i="3"/>
  <c r="N431" i="3"/>
  <c r="L431" i="3"/>
  <c r="O431" i="3"/>
  <c r="P431" i="3"/>
  <c r="I431" i="3"/>
  <c r="F426" i="3"/>
  <c r="P426" i="3"/>
  <c r="M426" i="3"/>
  <c r="J426" i="3"/>
  <c r="G426" i="3"/>
  <c r="Q426" i="3"/>
  <c r="K426" i="3"/>
  <c r="H426" i="3"/>
  <c r="E426" i="3"/>
  <c r="L426" i="3"/>
  <c r="I426" i="3"/>
  <c r="U366" i="3"/>
  <c r="U431" i="3"/>
  <c r="U301" i="3"/>
  <c r="J425" i="3"/>
  <c r="G425" i="3"/>
  <c r="Q425" i="3"/>
  <c r="K425" i="3"/>
  <c r="H425" i="3"/>
  <c r="O425" i="3"/>
  <c r="E425" i="3"/>
  <c r="L425" i="3"/>
  <c r="F425" i="3"/>
  <c r="P425" i="3"/>
  <c r="I425" i="3"/>
  <c r="N428" i="3"/>
  <c r="K428" i="3"/>
  <c r="Q428" i="3"/>
  <c r="E428" i="3"/>
  <c r="H428" i="3"/>
  <c r="F428" i="3"/>
  <c r="L428" i="3"/>
  <c r="I428" i="3"/>
  <c r="J428" i="3"/>
  <c r="G428" i="3"/>
  <c r="M428" i="3"/>
  <c r="U292" i="3"/>
  <c r="U422" i="3"/>
  <c r="U357" i="3"/>
  <c r="U290" i="3"/>
  <c r="U355" i="3"/>
  <c r="U420" i="3"/>
  <c r="N427" i="3"/>
  <c r="G427" i="3"/>
  <c r="H427" i="3"/>
  <c r="K427" i="3"/>
  <c r="L427" i="3"/>
  <c r="I427" i="3"/>
  <c r="P427" i="3"/>
  <c r="F427" i="3"/>
  <c r="M427" i="3"/>
  <c r="J427" i="3"/>
  <c r="E427" i="3"/>
  <c r="Q427" i="3"/>
  <c r="N421" i="3"/>
  <c r="G421" i="3"/>
  <c r="Q421" i="3"/>
  <c r="K421" i="3"/>
  <c r="H421" i="3"/>
  <c r="O421" i="3"/>
  <c r="E421" i="3"/>
  <c r="L421" i="3"/>
  <c r="F421" i="3"/>
  <c r="P421" i="3"/>
  <c r="M421" i="3"/>
  <c r="F424" i="3"/>
  <c r="E424" i="3"/>
  <c r="I424" i="3"/>
  <c r="J424" i="3"/>
  <c r="G424" i="3"/>
  <c r="Q424" i="3"/>
  <c r="N424" i="3"/>
  <c r="K424" i="3"/>
  <c r="H424" i="3"/>
  <c r="O424" i="3"/>
  <c r="P424" i="3"/>
  <c r="U293" i="3"/>
  <c r="U358" i="3"/>
  <c r="U423" i="3"/>
  <c r="O422" i="3"/>
  <c r="H422" i="3"/>
  <c r="E422" i="3"/>
  <c r="L422" i="3"/>
  <c r="I422" i="3"/>
  <c r="P422" i="3"/>
  <c r="F422" i="3"/>
  <c r="M422" i="3"/>
  <c r="N422" i="3"/>
  <c r="G422" i="3"/>
  <c r="Q422" i="3"/>
  <c r="P429" i="3"/>
  <c r="Q431" i="3"/>
  <c r="J61" i="5"/>
  <c r="U61" i="5"/>
  <c r="T61" i="5"/>
  <c r="S61" i="5"/>
  <c r="R61" i="5"/>
  <c r="Q61" i="5"/>
  <c r="P61" i="5"/>
  <c r="I61" i="5"/>
  <c r="G61" i="5"/>
  <c r="T17" i="5"/>
  <c r="T18" i="5"/>
  <c r="T19" i="5"/>
  <c r="T20" i="5"/>
  <c r="T21" i="5"/>
  <c r="T22" i="5"/>
  <c r="T149" i="3" s="1"/>
  <c r="T23" i="5"/>
  <c r="T150" i="3" s="1"/>
  <c r="R16" i="5"/>
  <c r="R15" i="5"/>
  <c r="R17" i="5"/>
  <c r="R18" i="5"/>
  <c r="R14" i="5"/>
  <c r="P12" i="5"/>
  <c r="P13" i="5"/>
  <c r="P14" i="5"/>
  <c r="P15" i="5"/>
  <c r="P16" i="5"/>
  <c r="P17" i="5"/>
  <c r="P18" i="5"/>
  <c r="B24" i="5"/>
  <c r="K24" i="5" s="1"/>
  <c r="T215" i="3" s="1"/>
  <c r="B23" i="5"/>
  <c r="K23" i="5" s="1"/>
  <c r="T214" i="3" s="1"/>
  <c r="B22" i="5"/>
  <c r="K22" i="5" s="1"/>
  <c r="T213" i="3" s="1"/>
  <c r="B21" i="5"/>
  <c r="C21" i="5" s="1"/>
  <c r="T471" i="3" s="1"/>
  <c r="B20" i="5"/>
  <c r="K20" i="5" s="1"/>
  <c r="T211" i="3" s="1"/>
  <c r="B19" i="5"/>
  <c r="K19" i="5" s="1"/>
  <c r="T210" i="3" s="1"/>
  <c r="B18" i="5"/>
  <c r="C18" i="5" s="1"/>
  <c r="T468" i="3" s="1"/>
  <c r="J24" i="5"/>
  <c r="J23" i="5"/>
  <c r="J22" i="5"/>
  <c r="J21" i="5"/>
  <c r="J20" i="5"/>
  <c r="J19" i="5"/>
  <c r="J18" i="5"/>
  <c r="I28" i="5"/>
  <c r="H24" i="5"/>
  <c r="H23" i="5"/>
  <c r="H22" i="5"/>
  <c r="H21" i="5"/>
  <c r="H20" i="5"/>
  <c r="H19" i="5"/>
  <c r="H18" i="5"/>
  <c r="G28" i="5"/>
  <c r="T4" i="5"/>
  <c r="A3" i="5"/>
  <c r="A2" i="5"/>
  <c r="K21" i="5" l="1"/>
  <c r="T212" i="3" s="1"/>
  <c r="Q12" i="5"/>
  <c r="T11" i="3"/>
  <c r="D11" i="3" s="1"/>
  <c r="Q15" i="5"/>
  <c r="T14" i="3"/>
  <c r="D14" i="3" s="1"/>
  <c r="S14" i="3" s="1"/>
  <c r="Q17" i="5"/>
  <c r="T16" i="3"/>
  <c r="D16" i="3" s="1"/>
  <c r="S16" i="3" s="1"/>
  <c r="Q16" i="5"/>
  <c r="T15" i="3"/>
  <c r="D15" i="3" s="1"/>
  <c r="S15" i="3" s="1"/>
  <c r="Q13" i="5"/>
  <c r="T12" i="3"/>
  <c r="D12" i="3" s="1"/>
  <c r="S12" i="3" s="1"/>
  <c r="Q18" i="5"/>
  <c r="T17" i="3"/>
  <c r="Q14" i="5"/>
  <c r="T13" i="3"/>
  <c r="D13" i="3" s="1"/>
  <c r="S13" i="3" s="1"/>
  <c r="S427" i="3"/>
  <c r="S431" i="3"/>
  <c r="S429" i="3"/>
  <c r="U22" i="5"/>
  <c r="S14" i="5"/>
  <c r="T77" i="3"/>
  <c r="D77" i="3" s="1"/>
  <c r="S16" i="5"/>
  <c r="T79" i="3"/>
  <c r="D79" i="3" s="1"/>
  <c r="S79" i="3" s="1"/>
  <c r="U20" i="5"/>
  <c r="T147" i="3"/>
  <c r="U17" i="5"/>
  <c r="T144" i="3"/>
  <c r="D144" i="3" s="1"/>
  <c r="S15" i="5"/>
  <c r="T78" i="3"/>
  <c r="D78" i="3" s="1"/>
  <c r="S78" i="3" s="1"/>
  <c r="U21" i="5"/>
  <c r="T148" i="3"/>
  <c r="S17" i="5"/>
  <c r="T80" i="3"/>
  <c r="D80" i="3" s="1"/>
  <c r="S80" i="3" s="1"/>
  <c r="U18" i="5"/>
  <c r="T145" i="3"/>
  <c r="S18" i="5"/>
  <c r="T81" i="3"/>
  <c r="U19" i="5"/>
  <c r="T146" i="3"/>
  <c r="U23" i="5"/>
  <c r="F471" i="3"/>
  <c r="S471" i="3" s="1"/>
  <c r="E468" i="3"/>
  <c r="I63" i="5"/>
  <c r="G63" i="5"/>
  <c r="H61" i="5"/>
  <c r="K61" i="5"/>
  <c r="C23" i="5"/>
  <c r="T473" i="3" s="1"/>
  <c r="B61" i="5"/>
  <c r="C24" i="5"/>
  <c r="L21" i="5"/>
  <c r="T28" i="5"/>
  <c r="T63" i="5" s="1"/>
  <c r="R28" i="5"/>
  <c r="R63" i="5" s="1"/>
  <c r="C22" i="5"/>
  <c r="T472" i="3" s="1"/>
  <c r="C20" i="5"/>
  <c r="T470" i="3" s="1"/>
  <c r="L18" i="5"/>
  <c r="K18" i="5"/>
  <c r="P28" i="5"/>
  <c r="P63" i="5" s="1"/>
  <c r="H28" i="5"/>
  <c r="J28" i="5"/>
  <c r="J63" i="5" s="1"/>
  <c r="B28" i="5"/>
  <c r="C19" i="5"/>
  <c r="T469" i="3" s="1"/>
  <c r="Q28" i="5" l="1"/>
  <c r="Q63" i="5" s="1"/>
  <c r="T61" i="3"/>
  <c r="T526" i="3"/>
  <c r="S11" i="3"/>
  <c r="D61" i="3"/>
  <c r="D526" i="3" s="1"/>
  <c r="S28" i="5"/>
  <c r="S63" i="5" s="1"/>
  <c r="L23" i="5"/>
  <c r="T278" i="3" s="1"/>
  <c r="U28" i="5"/>
  <c r="U63" i="5" s="1"/>
  <c r="T527" i="3"/>
  <c r="T529" i="3"/>
  <c r="T125" i="3"/>
  <c r="K28" i="5"/>
  <c r="K63" i="5" s="1"/>
  <c r="T209" i="3"/>
  <c r="M21" i="5"/>
  <c r="T406" i="3"/>
  <c r="F406" i="3" s="1"/>
  <c r="T276" i="3"/>
  <c r="S77" i="3"/>
  <c r="D125" i="3"/>
  <c r="D527" i="3" s="1"/>
  <c r="N18" i="5"/>
  <c r="T273" i="3"/>
  <c r="T403" i="3"/>
  <c r="E403" i="3" s="1"/>
  <c r="T408" i="3"/>
  <c r="E408" i="3" s="1"/>
  <c r="T528" i="3"/>
  <c r="T189" i="3"/>
  <c r="S144" i="3"/>
  <c r="D189" i="3"/>
  <c r="D528" i="3" s="1"/>
  <c r="E469" i="3"/>
  <c r="S469" i="3" s="1"/>
  <c r="F472" i="3"/>
  <c r="S472" i="3" s="1"/>
  <c r="S468" i="3"/>
  <c r="L24" i="5"/>
  <c r="T474" i="3"/>
  <c r="B63" i="5"/>
  <c r="H63" i="5"/>
  <c r="C61" i="5"/>
  <c r="O21" i="5"/>
  <c r="N21" i="5"/>
  <c r="L22" i="5"/>
  <c r="L20" i="5"/>
  <c r="C28" i="5"/>
  <c r="D28" i="5" s="1"/>
  <c r="E28" i="5" s="1"/>
  <c r="F28" i="5" s="1"/>
  <c r="L19" i="5"/>
  <c r="O18" i="5"/>
  <c r="M18" i="5"/>
  <c r="M23" i="5" l="1"/>
  <c r="U343" i="3" s="1"/>
  <c r="O23" i="5"/>
  <c r="N23" i="5"/>
  <c r="Q408" i="3"/>
  <c r="H408" i="3"/>
  <c r="L408" i="3"/>
  <c r="J408" i="3"/>
  <c r="N408" i="3"/>
  <c r="K408" i="3"/>
  <c r="M408" i="3"/>
  <c r="O408" i="3"/>
  <c r="I408" i="3"/>
  <c r="P408" i="3"/>
  <c r="O24" i="5"/>
  <c r="T279" i="3"/>
  <c r="T409" i="3"/>
  <c r="L409" i="3" s="1"/>
  <c r="N403" i="3"/>
  <c r="H403" i="3"/>
  <c r="L403" i="3"/>
  <c r="G403" i="3"/>
  <c r="I403" i="3"/>
  <c r="K403" i="3"/>
  <c r="O403" i="3"/>
  <c r="P403" i="3"/>
  <c r="F403" i="3"/>
  <c r="M403" i="3"/>
  <c r="J403" i="3"/>
  <c r="Q403" i="3"/>
  <c r="U278" i="3"/>
  <c r="D529" i="3"/>
  <c r="D531" i="3" s="1"/>
  <c r="D721" i="3" s="1"/>
  <c r="U341" i="3"/>
  <c r="U406" i="3"/>
  <c r="U276" i="3"/>
  <c r="N22" i="5"/>
  <c r="T277" i="3"/>
  <c r="T407" i="3"/>
  <c r="F407" i="3" s="1"/>
  <c r="J406" i="3"/>
  <c r="K406" i="3"/>
  <c r="Q406" i="3"/>
  <c r="N406" i="3"/>
  <c r="O406" i="3"/>
  <c r="E406" i="3"/>
  <c r="I406" i="3"/>
  <c r="P406" i="3"/>
  <c r="M406" i="3"/>
  <c r="H406" i="3"/>
  <c r="L406" i="3"/>
  <c r="G406" i="3"/>
  <c r="N19" i="5"/>
  <c r="T404" i="3"/>
  <c r="E404" i="3" s="1"/>
  <c r="T274" i="3"/>
  <c r="U403" i="3"/>
  <c r="U273" i="3"/>
  <c r="U338" i="3"/>
  <c r="M20" i="5"/>
  <c r="T275" i="3"/>
  <c r="T405" i="3"/>
  <c r="T531" i="3"/>
  <c r="T253" i="3"/>
  <c r="T530" i="3"/>
  <c r="G474" i="3"/>
  <c r="S474" i="3" s="1"/>
  <c r="N24" i="5"/>
  <c r="M24" i="5"/>
  <c r="C63" i="5"/>
  <c r="O22" i="5"/>
  <c r="D61" i="5"/>
  <c r="L61" i="5"/>
  <c r="O19" i="5"/>
  <c r="N20" i="5"/>
  <c r="M19" i="5"/>
  <c r="O20" i="5"/>
  <c r="L28" i="5"/>
  <c r="M22" i="5"/>
  <c r="D135" i="7" l="1"/>
  <c r="D121" i="7"/>
  <c r="U408" i="3"/>
  <c r="J409" i="3"/>
  <c r="K409" i="3"/>
  <c r="S406" i="3"/>
  <c r="M409" i="3"/>
  <c r="I409" i="3"/>
  <c r="F409" i="3"/>
  <c r="S403" i="3"/>
  <c r="H409" i="3"/>
  <c r="E409" i="3"/>
  <c r="P409" i="3"/>
  <c r="Q409" i="3"/>
  <c r="O409" i="3"/>
  <c r="N409" i="3"/>
  <c r="U277" i="3"/>
  <c r="U342" i="3"/>
  <c r="U407" i="3"/>
  <c r="U274" i="3"/>
  <c r="U404" i="3"/>
  <c r="U339" i="3"/>
  <c r="J405" i="3"/>
  <c r="G405" i="3"/>
  <c r="M405" i="3"/>
  <c r="O405" i="3"/>
  <c r="H405" i="3"/>
  <c r="N405" i="3"/>
  <c r="K405" i="3"/>
  <c r="Q405" i="3"/>
  <c r="P405" i="3"/>
  <c r="L405" i="3"/>
  <c r="I405" i="3"/>
  <c r="U344" i="3"/>
  <c r="U409" i="3"/>
  <c r="U279" i="3"/>
  <c r="P404" i="3"/>
  <c r="L404" i="3"/>
  <c r="I404" i="3"/>
  <c r="K404" i="3"/>
  <c r="O404" i="3"/>
  <c r="F404" i="3"/>
  <c r="G404" i="3"/>
  <c r="M404" i="3"/>
  <c r="J404" i="3"/>
  <c r="Q404" i="3"/>
  <c r="N404" i="3"/>
  <c r="H404" i="3"/>
  <c r="U340" i="3"/>
  <c r="U275" i="3"/>
  <c r="U405" i="3"/>
  <c r="P407" i="3"/>
  <c r="L407" i="3"/>
  <c r="I407" i="3"/>
  <c r="N407" i="3"/>
  <c r="Q407" i="3"/>
  <c r="O407" i="3"/>
  <c r="E407" i="3"/>
  <c r="J407" i="3"/>
  <c r="G407" i="3"/>
  <c r="M407" i="3"/>
  <c r="K407" i="3"/>
  <c r="H407" i="3"/>
  <c r="G409" i="3"/>
  <c r="T512" i="3"/>
  <c r="E61" i="5"/>
  <c r="F61" i="5" s="1"/>
  <c r="F63" i="5" s="1"/>
  <c r="T513" i="3"/>
  <c r="M28" i="5"/>
  <c r="N28" i="5" s="1"/>
  <c r="O28" i="5" s="1"/>
  <c r="D63" i="5"/>
  <c r="C30" i="1" s="1"/>
  <c r="M61" i="5"/>
  <c r="N61" i="5" s="1"/>
  <c r="O61" i="5" s="1"/>
  <c r="L63" i="5"/>
  <c r="D130" i="7" l="1"/>
  <c r="O63" i="5"/>
  <c r="S404" i="3"/>
  <c r="S409" i="3"/>
  <c r="S407" i="3"/>
  <c r="B13" i="1"/>
  <c r="T532" i="3"/>
  <c r="T447" i="3"/>
  <c r="T317" i="3"/>
  <c r="B12" i="1"/>
  <c r="E63" i="5"/>
  <c r="T551" i="3"/>
  <c r="T561" i="3"/>
  <c r="T552" i="3"/>
  <c r="T564" i="3"/>
  <c r="B30" i="1"/>
  <c r="B28" i="1" s="1"/>
  <c r="C28" i="1"/>
  <c r="M63" i="5"/>
  <c r="N63" i="5"/>
  <c r="D131" i="7" l="1"/>
  <c r="D133" i="7" s="1"/>
  <c r="D137" i="7" s="1"/>
  <c r="B14" i="1"/>
  <c r="B26" i="1" s="1"/>
  <c r="C26" i="1"/>
  <c r="T318" i="3"/>
  <c r="T533" i="3"/>
  <c r="T448" i="3"/>
  <c r="B29" i="1"/>
  <c r="H485" i="3"/>
  <c r="E470" i="3"/>
  <c r="E405" i="3" s="1"/>
  <c r="D28" i="1"/>
  <c r="D29" i="1" s="1"/>
  <c r="B3" i="9" l="1"/>
  <c r="B168" i="6"/>
  <c r="E32" i="9"/>
  <c r="E24" i="9"/>
  <c r="H512" i="3"/>
  <c r="H513" i="3" s="1"/>
  <c r="H552" i="3" s="1"/>
  <c r="H557" i="3" s="1"/>
  <c r="H420" i="3"/>
  <c r="E512" i="3"/>
  <c r="F470" i="3"/>
  <c r="F405" i="3" s="1"/>
  <c r="C29" i="1"/>
  <c r="D26" i="1"/>
  <c r="D27" i="1" s="1"/>
  <c r="B27" i="1"/>
  <c r="C197" i="6" l="1"/>
  <c r="F181" i="6"/>
  <c r="F177" i="6"/>
  <c r="F191" i="6"/>
  <c r="C198" i="6"/>
  <c r="D110" i="7" s="1"/>
  <c r="F178" i="6"/>
  <c r="F186" i="6"/>
  <c r="F190" i="6"/>
  <c r="F192" i="6" s="1"/>
  <c r="C199" i="6"/>
  <c r="D111" i="7" s="1"/>
  <c r="F183" i="6"/>
  <c r="F175" i="6"/>
  <c r="F182" i="6"/>
  <c r="E46" i="9"/>
  <c r="E48" i="9" s="1"/>
  <c r="H551" i="3"/>
  <c r="F473" i="3"/>
  <c r="F408" i="3" s="1"/>
  <c r="E551" i="3"/>
  <c r="E550" i="3" s="1"/>
  <c r="E513" i="3"/>
  <c r="E552" i="3" s="1"/>
  <c r="E557" i="3" s="1"/>
  <c r="S470" i="3"/>
  <c r="C27" i="1"/>
  <c r="F176" i="6" l="1"/>
  <c r="F179" i="6"/>
  <c r="F184" i="6"/>
  <c r="D114" i="7"/>
  <c r="D109" i="7"/>
  <c r="E47" i="9"/>
  <c r="E49" i="9" s="1"/>
  <c r="F49" i="9" s="1"/>
  <c r="E206" i="6" s="1"/>
  <c r="F206" i="6" s="1"/>
  <c r="D83" i="7" s="1"/>
  <c r="H561" i="3"/>
  <c r="H550" i="3"/>
  <c r="E561" i="3"/>
  <c r="G473" i="3"/>
  <c r="F512" i="3"/>
  <c r="D112" i="7" l="1"/>
  <c r="D105" i="7"/>
  <c r="D106" i="7"/>
  <c r="D104" i="7"/>
  <c r="E207" i="6"/>
  <c r="F207" i="6" s="1"/>
  <c r="D84" i="7" s="1"/>
  <c r="E208" i="6"/>
  <c r="F208" i="6" s="1"/>
  <c r="D85" i="7" s="1"/>
  <c r="E205" i="6"/>
  <c r="F205" i="6" s="1"/>
  <c r="D82" i="7" s="1"/>
  <c r="E560" i="3"/>
  <c r="E162" i="7" s="1"/>
  <c r="E27" i="4"/>
  <c r="H560" i="3"/>
  <c r="H164" i="7" s="1"/>
  <c r="H27" i="4"/>
  <c r="H562" i="3"/>
  <c r="H563" i="3" s="1"/>
  <c r="H574" i="3" s="1"/>
  <c r="S473" i="3"/>
  <c r="G408" i="3"/>
  <c r="E564" i="3"/>
  <c r="E569" i="3" s="1"/>
  <c r="E562" i="3"/>
  <c r="E563" i="3" s="1"/>
  <c r="F513" i="3"/>
  <c r="F552" i="3" s="1"/>
  <c r="F557" i="3" s="1"/>
  <c r="F551" i="3"/>
  <c r="F550" i="3" s="1"/>
  <c r="G485" i="3"/>
  <c r="G420" i="3" s="1"/>
  <c r="D107" i="7" l="1"/>
  <c r="D86" i="7"/>
  <c r="D90" i="7" s="1"/>
  <c r="H581" i="3"/>
  <c r="H173" i="7"/>
  <c r="H163" i="7"/>
  <c r="H162" i="7"/>
  <c r="E163" i="7"/>
  <c r="E28" i="4"/>
  <c r="E30" i="4"/>
  <c r="E164" i="7"/>
  <c r="H30" i="4"/>
  <c r="H28" i="4"/>
  <c r="H573" i="3"/>
  <c r="H578" i="3" s="1"/>
  <c r="F561" i="3"/>
  <c r="E574" i="3"/>
  <c r="I485" i="3"/>
  <c r="I420" i="3" s="1"/>
  <c r="G512" i="3"/>
  <c r="D117" i="7" l="1"/>
  <c r="D87" i="7"/>
  <c r="E581" i="3"/>
  <c r="E173" i="7"/>
  <c r="H165" i="7"/>
  <c r="H166" i="7" s="1"/>
  <c r="H216" i="7" s="1"/>
  <c r="E165" i="7"/>
  <c r="E166" i="7" s="1"/>
  <c r="H32" i="4"/>
  <c r="E32" i="4"/>
  <c r="F560" i="3"/>
  <c r="F163" i="7" s="1"/>
  <c r="F27" i="4"/>
  <c r="F562" i="3"/>
  <c r="F563" i="3" s="1"/>
  <c r="F574" i="3" s="1"/>
  <c r="F564" i="3"/>
  <c r="F569" i="3" s="1"/>
  <c r="E575" i="3"/>
  <c r="E573" i="3"/>
  <c r="G513" i="3"/>
  <c r="G552" i="3" s="1"/>
  <c r="G557" i="3" s="1"/>
  <c r="H564" i="3" s="1"/>
  <c r="H569" i="3" s="1"/>
  <c r="G551" i="3"/>
  <c r="G550" i="3" s="1"/>
  <c r="I486" i="3"/>
  <c r="S485" i="3"/>
  <c r="F581" i="3" l="1"/>
  <c r="F173" i="7"/>
  <c r="H49" i="4"/>
  <c r="F162" i="7"/>
  <c r="E580" i="3"/>
  <c r="E583" i="3" s="1"/>
  <c r="F164" i="7"/>
  <c r="E49" i="4"/>
  <c r="E216" i="7"/>
  <c r="F30" i="4"/>
  <c r="F28" i="4"/>
  <c r="I512" i="3"/>
  <c r="I551" i="3" s="1"/>
  <c r="I550" i="3" s="1"/>
  <c r="I421" i="3"/>
  <c r="F575" i="3"/>
  <c r="F573" i="3"/>
  <c r="F578" i="3" s="1"/>
  <c r="E578" i="3"/>
  <c r="G561" i="3"/>
  <c r="J486" i="3"/>
  <c r="J421" i="3" s="1"/>
  <c r="F165" i="7" l="1"/>
  <c r="F166" i="7" s="1"/>
  <c r="F580" i="3"/>
  <c r="F583" i="3" s="1"/>
  <c r="F32" i="4"/>
  <c r="G560" i="3"/>
  <c r="G163" i="7" s="1"/>
  <c r="G27" i="4"/>
  <c r="E629" i="3"/>
  <c r="E618" i="3"/>
  <c r="E172" i="7" s="1"/>
  <c r="I513" i="3"/>
  <c r="I552" i="3" s="1"/>
  <c r="I557" i="3" s="1"/>
  <c r="E591" i="3"/>
  <c r="E725" i="3" s="1"/>
  <c r="G564" i="3"/>
  <c r="G569" i="3" s="1"/>
  <c r="H575" i="3" s="1"/>
  <c r="G562" i="3"/>
  <c r="G563" i="3" s="1"/>
  <c r="G574" i="3" s="1"/>
  <c r="I561" i="3"/>
  <c r="J487" i="3"/>
  <c r="S486" i="3"/>
  <c r="E19" i="4" l="1"/>
  <c r="E727" i="3"/>
  <c r="E726" i="3" s="1"/>
  <c r="G581" i="3"/>
  <c r="G173" i="7"/>
  <c r="G164" i="7"/>
  <c r="F49" i="4"/>
  <c r="F216" i="7"/>
  <c r="G162" i="7"/>
  <c r="G30" i="4"/>
  <c r="G28" i="4"/>
  <c r="I560" i="3"/>
  <c r="I164" i="7" s="1"/>
  <c r="I27" i="4"/>
  <c r="E178" i="7"/>
  <c r="F618" i="3"/>
  <c r="F172" i="7" s="1"/>
  <c r="F629" i="3"/>
  <c r="F178" i="7" s="1"/>
  <c r="J512" i="3"/>
  <c r="J513" i="3" s="1"/>
  <c r="J552" i="3" s="1"/>
  <c r="J557" i="3" s="1"/>
  <c r="J422" i="3"/>
  <c r="E599" i="3"/>
  <c r="E728" i="3" s="1"/>
  <c r="F591" i="3"/>
  <c r="F725" i="3" s="1"/>
  <c r="H580" i="3"/>
  <c r="H583" i="3" s="1"/>
  <c r="E592" i="3"/>
  <c r="E596" i="3" s="1"/>
  <c r="I562" i="3"/>
  <c r="I563" i="3" s="1"/>
  <c r="I574" i="3" s="1"/>
  <c r="G573" i="3"/>
  <c r="G575" i="3"/>
  <c r="I564" i="3"/>
  <c r="I569" i="3" s="1"/>
  <c r="K487" i="3"/>
  <c r="K422" i="3" s="1"/>
  <c r="F19" i="4" l="1"/>
  <c r="F727" i="3"/>
  <c r="F726" i="3" s="1"/>
  <c r="I581" i="3"/>
  <c r="I173" i="7"/>
  <c r="I163" i="7"/>
  <c r="G580" i="3"/>
  <c r="G583" i="3" s="1"/>
  <c r="G165" i="7"/>
  <c r="G166" i="7" s="1"/>
  <c r="G32" i="4"/>
  <c r="H618" i="3"/>
  <c r="H172" i="7" s="1"/>
  <c r="H629" i="3"/>
  <c r="H178" i="7" s="1"/>
  <c r="E10" i="4"/>
  <c r="E20" i="4"/>
  <c r="I28" i="4"/>
  <c r="I30" i="4"/>
  <c r="I162" i="7"/>
  <c r="J551" i="3"/>
  <c r="F592" i="3"/>
  <c r="F596" i="3" s="1"/>
  <c r="F599" i="3"/>
  <c r="F728" i="3" s="1"/>
  <c r="E600" i="3"/>
  <c r="H591" i="3"/>
  <c r="H725" i="3" s="1"/>
  <c r="I575" i="3"/>
  <c r="I573" i="3"/>
  <c r="I578" i="3" s="1"/>
  <c r="G578" i="3"/>
  <c r="K488" i="3"/>
  <c r="S487" i="3"/>
  <c r="H19" i="4" l="1"/>
  <c r="H727" i="3"/>
  <c r="H726" i="3" s="1"/>
  <c r="I165" i="7"/>
  <c r="I166" i="7" s="1"/>
  <c r="I49" i="4" s="1"/>
  <c r="I580" i="3"/>
  <c r="I583" i="3" s="1"/>
  <c r="G49" i="4"/>
  <c r="G216" i="7"/>
  <c r="I32" i="4"/>
  <c r="G618" i="3"/>
  <c r="G172" i="7" s="1"/>
  <c r="G629" i="3"/>
  <c r="F10" i="4"/>
  <c r="F20" i="4"/>
  <c r="J561" i="3"/>
  <c r="J564" i="3" s="1"/>
  <c r="J569" i="3" s="1"/>
  <c r="J550" i="3"/>
  <c r="K512" i="3"/>
  <c r="K551" i="3" s="1"/>
  <c r="K550" i="3" s="1"/>
  <c r="K423" i="3"/>
  <c r="H592" i="3"/>
  <c r="H596" i="3" s="1"/>
  <c r="H599" i="3"/>
  <c r="H728" i="3" s="1"/>
  <c r="F600" i="3"/>
  <c r="G591" i="3"/>
  <c r="L488" i="3"/>
  <c r="G727" i="3" l="1"/>
  <c r="G725" i="3"/>
  <c r="I216" i="7"/>
  <c r="I618" i="3"/>
  <c r="I172" i="7" s="1"/>
  <c r="I629" i="3"/>
  <c r="I178" i="7" s="1"/>
  <c r="G599" i="3"/>
  <c r="G728" i="3" s="1"/>
  <c r="G19" i="4"/>
  <c r="H10" i="4"/>
  <c r="H20" i="4"/>
  <c r="J560" i="3"/>
  <c r="J163" i="7" s="1"/>
  <c r="J27" i="4"/>
  <c r="G178" i="7"/>
  <c r="J562" i="3"/>
  <c r="J563" i="3" s="1"/>
  <c r="J574" i="3" s="1"/>
  <c r="S488" i="3"/>
  <c r="L423" i="3"/>
  <c r="K513" i="3"/>
  <c r="K552" i="3" s="1"/>
  <c r="K557" i="3" s="1"/>
  <c r="I591" i="3"/>
  <c r="G592" i="3"/>
  <c r="G596" i="3" s="1"/>
  <c r="H600" i="3" s="1"/>
  <c r="K561" i="3"/>
  <c r="L489" i="3"/>
  <c r="I727" i="3" l="1"/>
  <c r="I725" i="3"/>
  <c r="G726" i="3"/>
  <c r="J581" i="3"/>
  <c r="J173" i="7"/>
  <c r="J164" i="7"/>
  <c r="J162" i="7"/>
  <c r="G10" i="4"/>
  <c r="G20" i="4"/>
  <c r="K560" i="3"/>
  <c r="K162" i="7" s="1"/>
  <c r="K27" i="4"/>
  <c r="J30" i="4"/>
  <c r="J28" i="4"/>
  <c r="I599" i="3"/>
  <c r="I728" i="3" s="1"/>
  <c r="I19" i="4"/>
  <c r="J575" i="3"/>
  <c r="J573" i="3"/>
  <c r="J578" i="3" s="1"/>
  <c r="L512" i="3"/>
  <c r="L551" i="3" s="1"/>
  <c r="L550" i="3" s="1"/>
  <c r="L424" i="3"/>
  <c r="G600" i="3"/>
  <c r="I592" i="3"/>
  <c r="I596" i="3" s="1"/>
  <c r="K564" i="3"/>
  <c r="K569" i="3" s="1"/>
  <c r="K562" i="3"/>
  <c r="K563" i="3" s="1"/>
  <c r="M489" i="3"/>
  <c r="I726" i="3" l="1"/>
  <c r="J580" i="3"/>
  <c r="J583" i="3" s="1"/>
  <c r="J629" i="3" s="1"/>
  <c r="J165" i="7"/>
  <c r="J166" i="7" s="1"/>
  <c r="K163" i="7"/>
  <c r="K164" i="7"/>
  <c r="J32" i="4"/>
  <c r="I10" i="4"/>
  <c r="I20" i="4"/>
  <c r="K30" i="4"/>
  <c r="K28" i="4"/>
  <c r="L513" i="3"/>
  <c r="L552" i="3" s="1"/>
  <c r="L557" i="3" s="1"/>
  <c r="M490" i="3"/>
  <c r="M425" i="3" s="1"/>
  <c r="M424" i="3"/>
  <c r="I600" i="3"/>
  <c r="K574" i="3"/>
  <c r="L561" i="3"/>
  <c r="S489" i="3"/>
  <c r="K581" i="3" l="1"/>
  <c r="K173" i="7"/>
  <c r="J618" i="3"/>
  <c r="J172" i="7" s="1"/>
  <c r="J591" i="3"/>
  <c r="J725" i="3" s="1"/>
  <c r="K165" i="7"/>
  <c r="K166" i="7" s="1"/>
  <c r="K216" i="7" s="1"/>
  <c r="J49" i="4"/>
  <c r="J216" i="7"/>
  <c r="K32" i="4"/>
  <c r="J178" i="7"/>
  <c r="L560" i="3"/>
  <c r="L162" i="7" s="1"/>
  <c r="L27" i="4"/>
  <c r="N490" i="3"/>
  <c r="N491" i="3" s="1"/>
  <c r="M512" i="3"/>
  <c r="M513" i="3" s="1"/>
  <c r="M552" i="3" s="1"/>
  <c r="M557" i="3" s="1"/>
  <c r="K575" i="3"/>
  <c r="K573" i="3"/>
  <c r="L564" i="3"/>
  <c r="L569" i="3" s="1"/>
  <c r="L562" i="3"/>
  <c r="L563" i="3" s="1"/>
  <c r="J599" i="3" l="1"/>
  <c r="J727" i="3"/>
  <c r="J726" i="3" s="1"/>
  <c r="J19" i="4"/>
  <c r="J592" i="3"/>
  <c r="J596" i="3" s="1"/>
  <c r="K580" i="3"/>
  <c r="K583" i="3" s="1"/>
  <c r="K49" i="4"/>
  <c r="L164" i="7"/>
  <c r="L163" i="7"/>
  <c r="L30" i="4"/>
  <c r="L28" i="4"/>
  <c r="M551" i="3"/>
  <c r="S490" i="3"/>
  <c r="N425" i="3"/>
  <c r="O491" i="3"/>
  <c r="O426" i="3" s="1"/>
  <c r="N426" i="3"/>
  <c r="K578" i="3"/>
  <c r="L574" i="3"/>
  <c r="N512" i="3"/>
  <c r="N551" i="3" s="1"/>
  <c r="N550" i="3" s="1"/>
  <c r="J20" i="4" l="1"/>
  <c r="J728" i="3"/>
  <c r="J10" i="4"/>
  <c r="L581" i="3"/>
  <c r="L173" i="7"/>
  <c r="J600" i="3"/>
  <c r="L165" i="7"/>
  <c r="L166" i="7" s="1"/>
  <c r="L216" i="7" s="1"/>
  <c r="L32" i="4"/>
  <c r="K629" i="3"/>
  <c r="K618" i="3"/>
  <c r="K172" i="7" s="1"/>
  <c r="M561" i="3"/>
  <c r="M550" i="3"/>
  <c r="S491" i="3"/>
  <c r="O493" i="3"/>
  <c r="P493" i="3" s="1"/>
  <c r="K591" i="3"/>
  <c r="L575" i="3"/>
  <c r="L573" i="3"/>
  <c r="N561" i="3"/>
  <c r="N513" i="3"/>
  <c r="N552" i="3" s="1"/>
  <c r="N557" i="3" s="1"/>
  <c r="K727" i="3" l="1"/>
  <c r="K725" i="3"/>
  <c r="L580" i="3"/>
  <c r="L583" i="3" s="1"/>
  <c r="L49" i="4"/>
  <c r="N560" i="3"/>
  <c r="N164" i="7" s="1"/>
  <c r="N27" i="4"/>
  <c r="K599" i="3"/>
  <c r="K728" i="3" s="1"/>
  <c r="K19" i="4"/>
  <c r="M560" i="3"/>
  <c r="M163" i="7" s="1"/>
  <c r="M27" i="4"/>
  <c r="K178" i="7"/>
  <c r="M564" i="3"/>
  <c r="M569" i="3" s="1"/>
  <c r="M562" i="3"/>
  <c r="M563" i="3" s="1"/>
  <c r="M574" i="3" s="1"/>
  <c r="S493" i="3"/>
  <c r="P428" i="3"/>
  <c r="O512" i="3"/>
  <c r="O428" i="3"/>
  <c r="K592" i="3"/>
  <c r="K596" i="3" s="1"/>
  <c r="L578" i="3"/>
  <c r="N562" i="3"/>
  <c r="N563" i="3" s="1"/>
  <c r="N574" i="3" s="1"/>
  <c r="N173" i="7" s="1"/>
  <c r="N564" i="3"/>
  <c r="N569" i="3" s="1"/>
  <c r="P495" i="3"/>
  <c r="K726" i="3" l="1"/>
  <c r="M581" i="3"/>
  <c r="M173" i="7"/>
  <c r="N163" i="7"/>
  <c r="M162" i="7"/>
  <c r="M164" i="7"/>
  <c r="L629" i="3"/>
  <c r="L178" i="7" s="1"/>
  <c r="L618" i="3"/>
  <c r="L172" i="7" s="1"/>
  <c r="M28" i="4"/>
  <c r="M30" i="4"/>
  <c r="N30" i="4"/>
  <c r="N28" i="4"/>
  <c r="N162" i="7"/>
  <c r="K10" i="4"/>
  <c r="K20" i="4"/>
  <c r="N581" i="3"/>
  <c r="N179" i="7"/>
  <c r="O513" i="3"/>
  <c r="O552" i="3" s="1"/>
  <c r="O557" i="3" s="1"/>
  <c r="O551" i="3"/>
  <c r="P512" i="3"/>
  <c r="P551" i="3" s="1"/>
  <c r="P550" i="3" s="1"/>
  <c r="P430" i="3"/>
  <c r="K600" i="3"/>
  <c r="L591" i="3"/>
  <c r="L725" i="3" s="1"/>
  <c r="N575" i="3"/>
  <c r="N573" i="3"/>
  <c r="N578" i="3" s="1"/>
  <c r="M575" i="3"/>
  <c r="M573" i="3"/>
  <c r="M578" i="3" s="1"/>
  <c r="Q495" i="3"/>
  <c r="L19" i="4" l="1"/>
  <c r="L727" i="3"/>
  <c r="L726" i="3" s="1"/>
  <c r="M165" i="7"/>
  <c r="M166" i="7" s="1"/>
  <c r="M49" i="4" s="1"/>
  <c r="N165" i="7"/>
  <c r="N166" i="7" s="1"/>
  <c r="N32" i="4"/>
  <c r="M32" i="4"/>
  <c r="O561" i="3"/>
  <c r="O550" i="3"/>
  <c r="P513" i="3"/>
  <c r="P552" i="3" s="1"/>
  <c r="P557" i="3" s="1"/>
  <c r="Q512" i="3"/>
  <c r="S512" i="3" s="1"/>
  <c r="Q430" i="3"/>
  <c r="L592" i="3"/>
  <c r="L596" i="3" s="1"/>
  <c r="L599" i="3"/>
  <c r="L728" i="3" s="1"/>
  <c r="N580" i="3"/>
  <c r="N583" i="3" s="1"/>
  <c r="M580" i="3"/>
  <c r="M583" i="3" s="1"/>
  <c r="P561" i="3"/>
  <c r="S495" i="3"/>
  <c r="M216" i="7" l="1"/>
  <c r="N49" i="4"/>
  <c r="N216" i="7"/>
  <c r="P560" i="3"/>
  <c r="P164" i="7" s="1"/>
  <c r="P27" i="4"/>
  <c r="L10" i="4"/>
  <c r="L20" i="4"/>
  <c r="N629" i="3"/>
  <c r="N178" i="7" s="1"/>
  <c r="N618" i="3"/>
  <c r="N172" i="7" s="1"/>
  <c r="M629" i="3"/>
  <c r="M178" i="7" s="1"/>
  <c r="M618" i="3"/>
  <c r="M172" i="7" s="1"/>
  <c r="O560" i="3"/>
  <c r="O163" i="7" s="1"/>
  <c r="O27" i="4"/>
  <c r="O562" i="3"/>
  <c r="O563" i="3" s="1"/>
  <c r="O574" i="3" s="1"/>
  <c r="O173" i="7" s="1"/>
  <c r="O564" i="3"/>
  <c r="O569" i="3" s="1"/>
  <c r="Q513" i="3"/>
  <c r="Q552" i="3" s="1"/>
  <c r="Q551" i="3"/>
  <c r="L600" i="3"/>
  <c r="M591" i="3"/>
  <c r="M725" i="3" s="1"/>
  <c r="N591" i="3"/>
  <c r="N725" i="3" s="1"/>
  <c r="P564" i="3"/>
  <c r="P569" i="3" s="1"/>
  <c r="P562" i="3"/>
  <c r="P563" i="3" s="1"/>
  <c r="N19" i="4" l="1"/>
  <c r="N727" i="3"/>
  <c r="N726" i="3" s="1"/>
  <c r="M19" i="4"/>
  <c r="M727" i="3"/>
  <c r="M726" i="3" s="1"/>
  <c r="P163" i="7"/>
  <c r="O162" i="7"/>
  <c r="O164" i="7"/>
  <c r="P30" i="4"/>
  <c r="P28" i="4"/>
  <c r="P162" i="7"/>
  <c r="O179" i="7"/>
  <c r="O30" i="4"/>
  <c r="O28" i="4"/>
  <c r="O581" i="3"/>
  <c r="O175" i="7"/>
  <c r="O174" i="7"/>
  <c r="O170" i="7"/>
  <c r="O176" i="7"/>
  <c r="O169" i="7"/>
  <c r="O573" i="3"/>
  <c r="O578" i="3" s="1"/>
  <c r="Q561" i="3"/>
  <c r="Q550" i="3"/>
  <c r="S550" i="3" s="1"/>
  <c r="O575" i="3"/>
  <c r="S513" i="3"/>
  <c r="S551" i="3"/>
  <c r="S552" i="3" s="1"/>
  <c r="N592" i="3"/>
  <c r="N596" i="3" s="1"/>
  <c r="N599" i="3"/>
  <c r="N728" i="3" s="1"/>
  <c r="M592" i="3"/>
  <c r="M599" i="3"/>
  <c r="M728" i="3" s="1"/>
  <c r="P574" i="3"/>
  <c r="P173" i="7" s="1"/>
  <c r="O165" i="7" l="1"/>
  <c r="O166" i="7" s="1"/>
  <c r="O216" i="7" s="1"/>
  <c r="P165" i="7"/>
  <c r="P166" i="7" s="1"/>
  <c r="P216" i="7" s="1"/>
  <c r="O32" i="4"/>
  <c r="O159" i="4" s="1"/>
  <c r="P179" i="7"/>
  <c r="N10" i="4"/>
  <c r="N20" i="4"/>
  <c r="P32" i="4"/>
  <c r="P159" i="4" s="1"/>
  <c r="M10" i="4"/>
  <c r="M20" i="4"/>
  <c r="Q564" i="3"/>
  <c r="Q27" i="4"/>
  <c r="P581" i="3"/>
  <c r="P176" i="7"/>
  <c r="P169" i="7"/>
  <c r="P175" i="7"/>
  <c r="P174" i="7"/>
  <c r="P170" i="7"/>
  <c r="O580" i="3"/>
  <c r="O583" i="3" s="1"/>
  <c r="Q560" i="3"/>
  <c r="Q562" i="3"/>
  <c r="S561" i="3"/>
  <c r="M596" i="3"/>
  <c r="N600" i="3" s="1"/>
  <c r="P575" i="3"/>
  <c r="P573" i="3"/>
  <c r="P578" i="3" s="1"/>
  <c r="O55" i="4" l="1"/>
  <c r="O49" i="4"/>
  <c r="P49" i="4"/>
  <c r="O618" i="3"/>
  <c r="O172" i="7" s="1"/>
  <c r="O629" i="3"/>
  <c r="O178" i="7" s="1"/>
  <c r="Q28" i="4"/>
  <c r="Q30" i="4"/>
  <c r="S27" i="4"/>
  <c r="P55" i="4"/>
  <c r="O591" i="3"/>
  <c r="S560" i="3"/>
  <c r="Q164" i="7"/>
  <c r="S164" i="7" s="1"/>
  <c r="Q163" i="7"/>
  <c r="S163" i="7" s="1"/>
  <c r="Q162" i="7"/>
  <c r="P580" i="3"/>
  <c r="P583" i="3" s="1"/>
  <c r="Q563" i="3"/>
  <c r="S562" i="3"/>
  <c r="M600" i="3"/>
  <c r="O727" i="3" l="1"/>
  <c r="O725" i="3"/>
  <c r="O181" i="7"/>
  <c r="O182" i="7" s="1"/>
  <c r="Q32" i="4"/>
  <c r="Q159" i="4" s="1"/>
  <c r="P618" i="3"/>
  <c r="P172" i="7" s="1"/>
  <c r="P629" i="3"/>
  <c r="P178" i="7" s="1"/>
  <c r="O599" i="3"/>
  <c r="O728" i="3" s="1"/>
  <c r="O19" i="4"/>
  <c r="O592" i="3"/>
  <c r="O596" i="3" s="1"/>
  <c r="Q165" i="7"/>
  <c r="S165" i="7" s="1"/>
  <c r="S162" i="7"/>
  <c r="S563" i="3"/>
  <c r="S564" i="3" s="1"/>
  <c r="Q574" i="3"/>
  <c r="Q173" i="7" s="1"/>
  <c r="S173" i="7" s="1"/>
  <c r="P591" i="3"/>
  <c r="P725" i="3" s="1"/>
  <c r="O726" i="3" l="1"/>
  <c r="P19" i="4"/>
  <c r="P727" i="3"/>
  <c r="P726" i="3" s="1"/>
  <c r="O50" i="4"/>
  <c r="O217" i="7"/>
  <c r="P181" i="7"/>
  <c r="P182" i="7" s="1"/>
  <c r="O600" i="3"/>
  <c r="O10" i="4"/>
  <c r="O20" i="4"/>
  <c r="O22" i="4" s="1"/>
  <c r="Q179" i="7"/>
  <c r="Q55" i="4"/>
  <c r="Q166" i="7"/>
  <c r="Q216" i="7" s="1"/>
  <c r="S216" i="7" s="1"/>
  <c r="Q170" i="7"/>
  <c r="Q176" i="7"/>
  <c r="Q169" i="7"/>
  <c r="Q175" i="7"/>
  <c r="Q174" i="7"/>
  <c r="Q581" i="3"/>
  <c r="S574" i="3"/>
  <c r="Q573" i="3"/>
  <c r="Q575" i="3"/>
  <c r="P592" i="3"/>
  <c r="P596" i="3" s="1"/>
  <c r="P599" i="3"/>
  <c r="P728" i="3" s="1"/>
  <c r="P50" i="4" l="1"/>
  <c r="P217" i="7"/>
  <c r="O158" i="4"/>
  <c r="O53" i="4"/>
  <c r="P10" i="4"/>
  <c r="P14" i="4" s="1"/>
  <c r="P20" i="4"/>
  <c r="P22" i="4" s="1"/>
  <c r="O14" i="4"/>
  <c r="O64" i="4"/>
  <c r="O66" i="4"/>
  <c r="S166" i="7"/>
  <c r="S49" i="4" s="1"/>
  <c r="Q49" i="4"/>
  <c r="S573" i="3"/>
  <c r="Q578" i="3"/>
  <c r="S578" i="3" s="1"/>
  <c r="Q580" i="3"/>
  <c r="S580" i="3" s="1"/>
  <c r="S581" i="3" s="1"/>
  <c r="S575" i="3"/>
  <c r="P600" i="3"/>
  <c r="P66" i="4" l="1"/>
  <c r="O61" i="4"/>
  <c r="O46" i="4"/>
  <c r="O16" i="4"/>
  <c r="P158" i="4"/>
  <c r="P53" i="4"/>
  <c r="P64" i="4"/>
  <c r="P16" i="4"/>
  <c r="P46" i="4"/>
  <c r="P61" i="4"/>
  <c r="Q583" i="3"/>
  <c r="P154" i="4" l="1"/>
  <c r="P206" i="7"/>
  <c r="P207" i="7" s="1"/>
  <c r="P211" i="7" s="1"/>
  <c r="O154" i="4"/>
  <c r="O206" i="7"/>
  <c r="O207" i="7" s="1"/>
  <c r="O211" i="7" s="1"/>
  <c r="Q629" i="3"/>
  <c r="Q618" i="3"/>
  <c r="Q172" i="7" s="1"/>
  <c r="Q591" i="3"/>
  <c r="Q725" i="3" s="1"/>
  <c r="S583" i="3"/>
  <c r="S584" i="3" s="1"/>
  <c r="S725" i="3" l="1"/>
  <c r="Q19" i="4"/>
  <c r="Q727" i="3"/>
  <c r="S727" i="3" s="1"/>
  <c r="O51" i="4"/>
  <c r="O218" i="7"/>
  <c r="P51" i="4"/>
  <c r="P218" i="7"/>
  <c r="S618" i="3"/>
  <c r="Q178" i="7"/>
  <c r="S178" i="7" s="1"/>
  <c r="S629" i="3"/>
  <c r="S172" i="7"/>
  <c r="Q599" i="3"/>
  <c r="Q728" i="3" s="1"/>
  <c r="S728" i="3" s="1"/>
  <c r="S591" i="3"/>
  <c r="Q592" i="3"/>
  <c r="Q726" i="3" l="1"/>
  <c r="S726" i="3" s="1"/>
  <c r="Q181" i="7"/>
  <c r="Q182" i="7" s="1"/>
  <c r="Q217" i="7" s="1"/>
  <c r="Q10" i="4"/>
  <c r="Q66" i="4" s="1"/>
  <c r="Q20" i="4"/>
  <c r="Q22" i="4" s="1"/>
  <c r="S592" i="3"/>
  <c r="S599" i="3"/>
  <c r="Q600" i="3"/>
  <c r="Q50" i="4" l="1"/>
  <c r="Q64" i="4"/>
  <c r="Q158" i="4"/>
  <c r="Q53" i="4"/>
  <c r="Q14" i="4"/>
  <c r="Q46" i="4" s="1"/>
  <c r="S10" i="4"/>
  <c r="S600" i="3"/>
  <c r="Q16" i="4" l="1"/>
  <c r="Q61" i="4"/>
  <c r="B246" i="4"/>
  <c r="B189" i="4"/>
  <c r="B328" i="6"/>
  <c r="B329" i="6" s="1"/>
  <c r="Q154" i="4" l="1"/>
  <c r="Q206" i="7"/>
  <c r="Q207" i="7" s="1"/>
  <c r="Q211" i="7" s="1"/>
  <c r="Q248" i="4"/>
  <c r="P248" i="4"/>
  <c r="O248" i="4"/>
  <c r="P192" i="4"/>
  <c r="Q192" i="4"/>
  <c r="O192" i="4"/>
  <c r="T37" i="7"/>
  <c r="T36" i="7"/>
  <c r="T35" i="7"/>
  <c r="T34" i="7"/>
  <c r="T33" i="7"/>
  <c r="T32" i="7"/>
  <c r="T26" i="7"/>
  <c r="T22" i="7"/>
  <c r="T20" i="7"/>
  <c r="T10" i="7"/>
  <c r="T8" i="7"/>
  <c r="S4" i="7"/>
  <c r="Q218" i="7" l="1"/>
  <c r="Q51" i="4"/>
  <c r="B40" i="7"/>
  <c r="E52" i="7" s="1"/>
  <c r="T39" i="7"/>
  <c r="N175" i="7"/>
  <c r="N176" i="7"/>
  <c r="N174" i="7"/>
  <c r="N169" i="7"/>
  <c r="N170" i="7"/>
  <c r="N181" i="7" l="1"/>
  <c r="D55" i="4"/>
  <c r="C55" i="4"/>
  <c r="D53" i="4"/>
  <c r="C53" i="4"/>
  <c r="D52" i="4"/>
  <c r="C52" i="4"/>
  <c r="D51" i="4"/>
  <c r="C51" i="4"/>
  <c r="D50" i="4"/>
  <c r="C50" i="4"/>
  <c r="D48" i="4"/>
  <c r="C48" i="4"/>
  <c r="D46" i="4"/>
  <c r="C46" i="4"/>
  <c r="B55" i="4"/>
  <c r="B53" i="4"/>
  <c r="B52" i="4"/>
  <c r="B51" i="4"/>
  <c r="B50" i="4"/>
  <c r="C54" i="4" l="1"/>
  <c r="C56" i="4" s="1"/>
  <c r="C58" i="4" s="1"/>
  <c r="D54" i="4"/>
  <c r="D56" i="4" s="1"/>
  <c r="D58" i="4" s="1"/>
  <c r="B54" i="4"/>
  <c r="B56" i="4" s="1"/>
  <c r="B48" i="4"/>
  <c r="D218" i="7"/>
  <c r="C218" i="7"/>
  <c r="B46" i="4"/>
  <c r="A39" i="4"/>
  <c r="A38" i="4"/>
  <c r="B58" i="4" l="1"/>
  <c r="D223" i="4" l="1"/>
  <c r="C223" i="4"/>
  <c r="B223" i="4"/>
  <c r="B106" i="4"/>
  <c r="B105" i="4"/>
  <c r="N182" i="7"/>
  <c r="D182" i="7"/>
  <c r="D217" i="7" s="1"/>
  <c r="C182" i="7"/>
  <c r="C217" i="7" s="1"/>
  <c r="B182" i="7"/>
  <c r="B217" i="7" s="1"/>
  <c r="C215" i="7"/>
  <c r="B215" i="7"/>
  <c r="C219" i="7" l="1"/>
  <c r="C157" i="4" s="1"/>
  <c r="N50" i="4"/>
  <c r="N217" i="7"/>
  <c r="S21" i="4"/>
  <c r="B107" i="4"/>
  <c r="B61" i="4"/>
  <c r="B66" i="4"/>
  <c r="B63" i="4"/>
  <c r="B64" i="4"/>
  <c r="D61" i="4"/>
  <c r="D66" i="4"/>
  <c r="D63" i="4"/>
  <c r="D64" i="4"/>
  <c r="C64" i="4"/>
  <c r="C61" i="4"/>
  <c r="C66" i="4"/>
  <c r="C63" i="4"/>
  <c r="C14" i="4"/>
  <c r="B14" i="4"/>
  <c r="D14" i="4"/>
  <c r="B182" i="4" l="1"/>
  <c r="D22" i="4"/>
  <c r="D158" i="4" s="1"/>
  <c r="B172" i="4"/>
  <c r="B15" i="4"/>
  <c r="D65" i="4"/>
  <c r="D67" i="4" s="1"/>
  <c r="D72" i="4" s="1"/>
  <c r="B22" i="4"/>
  <c r="C22" i="4"/>
  <c r="C65" i="4"/>
  <c r="C67" i="4" s="1"/>
  <c r="C72" i="4" s="1"/>
  <c r="B65" i="4"/>
  <c r="B67" i="4" s="1"/>
  <c r="B72" i="4" s="1"/>
  <c r="D16" i="4"/>
  <c r="C16" i="4"/>
  <c r="B16" i="4"/>
  <c r="B23" i="4" l="1"/>
  <c r="B206" i="4" s="1"/>
  <c r="B204" i="4"/>
  <c r="C158" i="4"/>
  <c r="B158" i="4"/>
  <c r="C154" i="4"/>
  <c r="B154" i="4"/>
  <c r="D154" i="4"/>
  <c r="D212" i="4"/>
  <c r="D215" i="4" s="1"/>
  <c r="C212" i="4"/>
  <c r="C215" i="4" s="1"/>
  <c r="B212" i="4"/>
  <c r="B215" i="4" s="1"/>
  <c r="B156" i="4" l="1"/>
  <c r="B85" i="4"/>
  <c r="D156" i="4"/>
  <c r="D85" i="4"/>
  <c r="C156" i="4"/>
  <c r="C85" i="4"/>
  <c r="B33" i="4" l="1"/>
  <c r="S39" i="7"/>
  <c r="S68" i="4" s="1"/>
  <c r="D159" i="4"/>
  <c r="B170" i="4"/>
  <c r="D170" i="4"/>
  <c r="B159" i="4"/>
  <c r="C170" i="4"/>
  <c r="C159" i="4"/>
  <c r="C167" i="4" s="1"/>
  <c r="C86" i="4"/>
  <c r="C87" i="4" s="1"/>
  <c r="F52" i="7"/>
  <c r="C161" i="4" l="1"/>
  <c r="B207" i="4"/>
  <c r="G52" i="7"/>
  <c r="H52" i="7" s="1"/>
  <c r="I52" i="7" l="1"/>
  <c r="A46" i="7"/>
  <c r="A45" i="7"/>
  <c r="A75" i="7"/>
  <c r="A74" i="7"/>
  <c r="A3" i="7"/>
  <c r="A2" i="7"/>
  <c r="D311" i="6"/>
  <c r="E85" i="4"/>
  <c r="S85" i="4" s="1"/>
  <c r="J96" i="4"/>
  <c r="K96" i="4"/>
  <c r="L96" i="4"/>
  <c r="M96" i="4"/>
  <c r="N96" i="4"/>
  <c r="F223" i="4"/>
  <c r="G223" i="4"/>
  <c r="H223" i="4"/>
  <c r="I223" i="4"/>
  <c r="J223" i="4"/>
  <c r="K223" i="4"/>
  <c r="L223" i="4"/>
  <c r="M223" i="4"/>
  <c r="N223" i="4"/>
  <c r="E223" i="4"/>
  <c r="J169" i="4"/>
  <c r="J156" i="4"/>
  <c r="K169" i="4"/>
  <c r="K156" i="4"/>
  <c r="L169" i="4"/>
  <c r="L156" i="4"/>
  <c r="M169" i="4"/>
  <c r="M156" i="4"/>
  <c r="N169" i="4"/>
  <c r="N156" i="4"/>
  <c r="E156" i="4"/>
  <c r="F156" i="4"/>
  <c r="G156" i="4"/>
  <c r="H156" i="4"/>
  <c r="I156" i="4"/>
  <c r="A234" i="4"/>
  <c r="A233" i="4"/>
  <c r="A147" i="4"/>
  <c r="A146" i="4"/>
  <c r="A198" i="4"/>
  <c r="A197" i="4"/>
  <c r="A79" i="4"/>
  <c r="A78" i="4"/>
  <c r="A3" i="4"/>
  <c r="A2" i="4"/>
  <c r="D324" i="6"/>
  <c r="A306" i="6"/>
  <c r="A305" i="6"/>
  <c r="H307" i="6"/>
  <c r="G4" i="1"/>
  <c r="A3" i="1"/>
  <c r="A2" i="1"/>
  <c r="A519" i="3"/>
  <c r="A518" i="3"/>
  <c r="G170" i="4" l="1"/>
  <c r="H170" i="4"/>
  <c r="I170" i="4"/>
  <c r="F170" i="4"/>
  <c r="S156" i="4"/>
  <c r="Q40" i="7"/>
  <c r="Q67" i="7" s="1"/>
  <c r="Q69" i="7" s="1"/>
  <c r="Q212" i="4" s="1"/>
  <c r="Q215" i="4" s="1"/>
  <c r="P23" i="4"/>
  <c r="P206" i="4" s="1"/>
  <c r="O23" i="4"/>
  <c r="O206" i="4" s="1"/>
  <c r="Q23" i="4"/>
  <c r="Q206" i="4" s="1"/>
  <c r="Q33" i="4"/>
  <c r="Q207" i="4" s="1"/>
  <c r="P33" i="4"/>
  <c r="P207" i="4" s="1"/>
  <c r="O33" i="4"/>
  <c r="O207" i="4" s="1"/>
  <c r="Q15" i="4"/>
  <c r="Q204" i="4" s="1"/>
  <c r="P15" i="4"/>
  <c r="P204" i="4" s="1"/>
  <c r="O15" i="4"/>
  <c r="O204" i="4" s="1"/>
  <c r="O40" i="7"/>
  <c r="O65" i="7" s="1"/>
  <c r="P65" i="7" s="1"/>
  <c r="S65" i="7" s="1"/>
  <c r="P40" i="7"/>
  <c r="P66" i="7" s="1"/>
  <c r="S66" i="7" s="1"/>
  <c r="J52" i="7"/>
  <c r="L103" i="4"/>
  <c r="L184" i="4" s="1"/>
  <c r="E170" i="4"/>
  <c r="M40" i="7"/>
  <c r="M63" i="7" s="1"/>
  <c r="K40" i="7"/>
  <c r="K61" i="7" s="1"/>
  <c r="C40" i="7"/>
  <c r="E53" i="7" s="1"/>
  <c r="N40" i="7"/>
  <c r="N64" i="7" s="1"/>
  <c r="L40" i="7"/>
  <c r="L62" i="7" s="1"/>
  <c r="D40" i="7"/>
  <c r="E54" i="7" s="1"/>
  <c r="J40" i="7"/>
  <c r="J60" i="7" s="1"/>
  <c r="I40" i="7"/>
  <c r="I59" i="7" s="1"/>
  <c r="E40" i="7"/>
  <c r="E55" i="7" s="1"/>
  <c r="C220" i="7"/>
  <c r="H40" i="7"/>
  <c r="H58" i="7" s="1"/>
  <c r="G40" i="7"/>
  <c r="G57" i="7" s="1"/>
  <c r="F40" i="7"/>
  <c r="F56" i="7" s="1"/>
  <c r="D15" i="4"/>
  <c r="D204" i="4" s="1"/>
  <c r="D23" i="4"/>
  <c r="D206" i="4" s="1"/>
  <c r="C15" i="4"/>
  <c r="C23" i="4"/>
  <c r="D33" i="4"/>
  <c r="D207" i="4" s="1"/>
  <c r="C33" i="4"/>
  <c r="N103" i="4"/>
  <c r="N184" i="4" s="1"/>
  <c r="J103" i="4"/>
  <c r="J184" i="4" s="1"/>
  <c r="E170" i="7"/>
  <c r="E169" i="7"/>
  <c r="E179" i="7"/>
  <c r="E174" i="7"/>
  <c r="E176" i="7"/>
  <c r="E175" i="7"/>
  <c r="M103" i="4"/>
  <c r="M184" i="4" s="1"/>
  <c r="K103" i="4"/>
  <c r="K184" i="4" s="1"/>
  <c r="E106" i="4"/>
  <c r="C106" i="4"/>
  <c r="E105" i="4"/>
  <c r="C105" i="4"/>
  <c r="D106" i="4"/>
  <c r="D105" i="4"/>
  <c r="N170" i="4"/>
  <c r="M170" i="4"/>
  <c r="L170" i="4"/>
  <c r="K170" i="4"/>
  <c r="J170" i="4"/>
  <c r="F93" i="4"/>
  <c r="T89" i="4"/>
  <c r="S67" i="7" l="1"/>
  <c r="S170" i="4"/>
  <c r="C206" i="4"/>
  <c r="C207" i="4"/>
  <c r="C204" i="4"/>
  <c r="O64" i="7"/>
  <c r="P64" i="7" s="1"/>
  <c r="N63" i="7"/>
  <c r="O63" i="7" s="1"/>
  <c r="P63" i="7" s="1"/>
  <c r="E69" i="7"/>
  <c r="K52" i="7"/>
  <c r="M62" i="7"/>
  <c r="N62" i="7" s="1"/>
  <c r="K60" i="7"/>
  <c r="L60" i="7" s="1"/>
  <c r="M60" i="7" s="1"/>
  <c r="N60" i="7" s="1"/>
  <c r="O60" i="7" s="1"/>
  <c r="P60" i="7" s="1"/>
  <c r="S60" i="7" s="1"/>
  <c r="J59" i="7"/>
  <c r="K59" i="7" s="1"/>
  <c r="L59" i="7" s="1"/>
  <c r="M59" i="7" s="1"/>
  <c r="N59" i="7" s="1"/>
  <c r="O59" i="7" s="1"/>
  <c r="P59" i="7" s="1"/>
  <c r="S59" i="7" s="1"/>
  <c r="L61" i="7"/>
  <c r="S40" i="7"/>
  <c r="K176" i="7"/>
  <c r="K179" i="7"/>
  <c r="K174" i="7"/>
  <c r="K169" i="7"/>
  <c r="K170" i="7"/>
  <c r="K175" i="7"/>
  <c r="M179" i="7"/>
  <c r="M174" i="7"/>
  <c r="M175" i="7"/>
  <c r="M169" i="7"/>
  <c r="M176" i="7"/>
  <c r="M170" i="7"/>
  <c r="J175" i="7"/>
  <c r="J174" i="7"/>
  <c r="J179" i="7"/>
  <c r="J170" i="7"/>
  <c r="J176" i="7"/>
  <c r="J169" i="7"/>
  <c r="I175" i="7"/>
  <c r="I176" i="7"/>
  <c r="I169" i="7"/>
  <c r="I179" i="7"/>
  <c r="I170" i="7"/>
  <c r="I174" i="7"/>
  <c r="I58" i="7"/>
  <c r="J58" i="7" s="1"/>
  <c r="K58" i="7" s="1"/>
  <c r="L58" i="7" s="1"/>
  <c r="M58" i="7" s="1"/>
  <c r="N58" i="7" s="1"/>
  <c r="H57" i="7"/>
  <c r="C205" i="4"/>
  <c r="C217" i="4"/>
  <c r="F54" i="7"/>
  <c r="T40" i="7"/>
  <c r="E107" i="4"/>
  <c r="E172" i="4" s="1"/>
  <c r="D107" i="4"/>
  <c r="H179" i="7"/>
  <c r="H174" i="7"/>
  <c r="H169" i="7"/>
  <c r="H176" i="7"/>
  <c r="H175" i="7"/>
  <c r="H170" i="7"/>
  <c r="E181" i="7"/>
  <c r="C107" i="4"/>
  <c r="T156" i="4"/>
  <c r="C209" i="4" l="1"/>
  <c r="S64" i="7"/>
  <c r="S63" i="7"/>
  <c r="O62" i="7"/>
  <c r="P62" i="7" s="1"/>
  <c r="M61" i="7"/>
  <c r="N61" i="7" s="1"/>
  <c r="O61" i="7" s="1"/>
  <c r="P61" i="7" s="1"/>
  <c r="O58" i="7"/>
  <c r="P58" i="7" s="1"/>
  <c r="S58" i="7" s="1"/>
  <c r="I57" i="7"/>
  <c r="J57" i="7" s="1"/>
  <c r="K57" i="7" s="1"/>
  <c r="L57" i="7" s="1"/>
  <c r="M57" i="7" s="1"/>
  <c r="N57" i="7" s="1"/>
  <c r="O57" i="7" s="1"/>
  <c r="P57" i="7" s="1"/>
  <c r="L52" i="7"/>
  <c r="G56" i="7"/>
  <c r="H56" i="7" s="1"/>
  <c r="I56" i="7" s="1"/>
  <c r="J56" i="7" s="1"/>
  <c r="K56" i="7" s="1"/>
  <c r="L56" i="7" s="1"/>
  <c r="M56" i="7" s="1"/>
  <c r="N56" i="7" s="1"/>
  <c r="O56" i="7" s="1"/>
  <c r="P56" i="7" s="1"/>
  <c r="S56" i="7" s="1"/>
  <c r="F55" i="7"/>
  <c r="G55" i="7" s="1"/>
  <c r="H55" i="7" s="1"/>
  <c r="I55" i="7" s="1"/>
  <c r="J55" i="7" s="1"/>
  <c r="K55" i="7" s="1"/>
  <c r="L55" i="7" s="1"/>
  <c r="M55" i="7" s="1"/>
  <c r="N55" i="7" s="1"/>
  <c r="O55" i="7" s="1"/>
  <c r="P55" i="7" s="1"/>
  <c r="S55" i="7" s="1"/>
  <c r="K181" i="7"/>
  <c r="K182" i="7" s="1"/>
  <c r="M181" i="7"/>
  <c r="M182" i="7" s="1"/>
  <c r="L179" i="7"/>
  <c r="L170" i="7"/>
  <c r="L176" i="7"/>
  <c r="L169" i="7"/>
  <c r="L175" i="7"/>
  <c r="L174" i="7"/>
  <c r="J181" i="7"/>
  <c r="J182" i="7" s="1"/>
  <c r="F53" i="7"/>
  <c r="G54" i="7"/>
  <c r="E182" i="4"/>
  <c r="C182" i="4"/>
  <c r="C172" i="4"/>
  <c r="D182" i="4"/>
  <c r="D172" i="4"/>
  <c r="F176" i="7"/>
  <c r="F175" i="7"/>
  <c r="F170" i="7"/>
  <c r="F169" i="7"/>
  <c r="F179" i="7"/>
  <c r="F174" i="7"/>
  <c r="H181" i="7"/>
  <c r="H182" i="7" s="1"/>
  <c r="E182" i="7"/>
  <c r="E217" i="7" s="1"/>
  <c r="I181" i="7"/>
  <c r="I182" i="7" s="1"/>
  <c r="I217" i="7" s="1"/>
  <c r="H50" i="4" l="1"/>
  <c r="H217" i="7"/>
  <c r="J50" i="4"/>
  <c r="J217" i="7"/>
  <c r="K50" i="4"/>
  <c r="K217" i="7"/>
  <c r="M50" i="4"/>
  <c r="M217" i="7"/>
  <c r="S62" i="7"/>
  <c r="S61" i="7"/>
  <c r="S57" i="7"/>
  <c r="F69" i="7"/>
  <c r="F212" i="4" s="1"/>
  <c r="F215" i="4" s="1"/>
  <c r="M52" i="7"/>
  <c r="N52" i="7" s="1"/>
  <c r="O52" i="7" s="1"/>
  <c r="P52" i="7" s="1"/>
  <c r="E212" i="4"/>
  <c r="E215" i="4" s="1"/>
  <c r="L181" i="7"/>
  <c r="L182" i="7" s="1"/>
  <c r="L217" i="7" s="1"/>
  <c r="H54" i="7"/>
  <c r="G53" i="7"/>
  <c r="G69" i="7" s="1"/>
  <c r="I50" i="4"/>
  <c r="E50" i="4"/>
  <c r="F181" i="7"/>
  <c r="G174" i="7"/>
  <c r="S174" i="7" s="1"/>
  <c r="G176" i="7"/>
  <c r="S176" i="7" s="1"/>
  <c r="G175" i="7"/>
  <c r="S175" i="7" s="1"/>
  <c r="G170" i="7"/>
  <c r="S170" i="7" s="1"/>
  <c r="G179" i="7"/>
  <c r="S179" i="7" s="1"/>
  <c r="G169" i="7"/>
  <c r="S169" i="7" s="1"/>
  <c r="S52" i="7" l="1"/>
  <c r="L50" i="4"/>
  <c r="H53" i="7"/>
  <c r="H69" i="7" s="1"/>
  <c r="G212" i="4"/>
  <c r="G215" i="4" s="1"/>
  <c r="I54" i="7"/>
  <c r="J54" i="7" s="1"/>
  <c r="K54" i="7" s="1"/>
  <c r="L54" i="7" s="1"/>
  <c r="M54" i="7" s="1"/>
  <c r="N54" i="7" s="1"/>
  <c r="O54" i="7" s="1"/>
  <c r="P54" i="7" s="1"/>
  <c r="G181" i="7"/>
  <c r="G182" i="7" s="1"/>
  <c r="G217" i="7" s="1"/>
  <c r="F182" i="7"/>
  <c r="F217" i="7" s="1"/>
  <c r="S217" i="7" l="1"/>
  <c r="S181" i="7"/>
  <c r="S182" i="7"/>
  <c r="S50" i="4" s="1"/>
  <c r="S54" i="7"/>
  <c r="M22" i="4"/>
  <c r="I53" i="7"/>
  <c r="H212" i="4"/>
  <c r="H215" i="4" s="1"/>
  <c r="G50" i="4"/>
  <c r="F50" i="4"/>
  <c r="L22" i="4" l="1"/>
  <c r="L23" i="4" s="1"/>
  <c r="L206" i="4" s="1"/>
  <c r="J53" i="7"/>
  <c r="J69" i="7" s="1"/>
  <c r="J212" i="4" s="1"/>
  <c r="J215" i="4" s="1"/>
  <c r="I69" i="7"/>
  <c r="M158" i="4"/>
  <c r="M23" i="4"/>
  <c r="M206" i="4" s="1"/>
  <c r="M53" i="4"/>
  <c r="M64" i="4"/>
  <c r="G22" i="4"/>
  <c r="G23" i="4" s="1"/>
  <c r="G14" i="4"/>
  <c r="G15" i="4" s="1"/>
  <c r="G204" i="4" s="1"/>
  <c r="J22" i="4"/>
  <c r="J23" i="4" s="1"/>
  <c r="J14" i="4"/>
  <c r="J15" i="4" s="1"/>
  <c r="J204" i="4" s="1"/>
  <c r="M14" i="4"/>
  <c r="C163" i="4" l="1"/>
  <c r="C190" i="4" s="1"/>
  <c r="L64" i="4"/>
  <c r="L53" i="4"/>
  <c r="L158" i="4"/>
  <c r="K53" i="7"/>
  <c r="K69" i="7" s="1"/>
  <c r="K212" i="4" s="1"/>
  <c r="K215" i="4" s="1"/>
  <c r="I212" i="4"/>
  <c r="I215" i="4" s="1"/>
  <c r="K22" i="4"/>
  <c r="M15" i="4"/>
  <c r="M204" i="4" s="1"/>
  <c r="M46" i="4"/>
  <c r="M61" i="4"/>
  <c r="J206" i="4"/>
  <c r="G206" i="4"/>
  <c r="M16" i="4"/>
  <c r="M206" i="7" s="1"/>
  <c r="M207" i="7" s="1"/>
  <c r="M211" i="7" s="1"/>
  <c r="G16" i="4"/>
  <c r="G206" i="7" s="1"/>
  <c r="G207" i="7" s="1"/>
  <c r="G211" i="7" s="1"/>
  <c r="J64" i="4"/>
  <c r="N14" i="4"/>
  <c r="J158" i="4"/>
  <c r="H22" i="4"/>
  <c r="H23" i="4" s="1"/>
  <c r="G61" i="4"/>
  <c r="G46" i="4"/>
  <c r="J53" i="4"/>
  <c r="I22" i="4"/>
  <c r="I23" i="4" s="1"/>
  <c r="G158" i="4"/>
  <c r="G53" i="4"/>
  <c r="G64" i="4"/>
  <c r="J16" i="4"/>
  <c r="J206" i="7" s="1"/>
  <c r="J207" i="7" s="1"/>
  <c r="J211" i="7" s="1"/>
  <c r="J46" i="4"/>
  <c r="J61" i="4"/>
  <c r="H14" i="4"/>
  <c r="H15" i="4" s="1"/>
  <c r="H204" i="4" s="1"/>
  <c r="K14" i="4"/>
  <c r="M218" i="7" l="1"/>
  <c r="M51" i="4"/>
  <c r="J218" i="7"/>
  <c r="J51" i="4"/>
  <c r="G51" i="4"/>
  <c r="G218" i="7"/>
  <c r="C240" i="4"/>
  <c r="C247" i="4" s="1"/>
  <c r="L53" i="7"/>
  <c r="L69" i="7" s="1"/>
  <c r="K64" i="4"/>
  <c r="K158" i="4"/>
  <c r="K23" i="4"/>
  <c r="K206" i="4" s="1"/>
  <c r="K53" i="4"/>
  <c r="N15" i="4"/>
  <c r="N204" i="4" s="1"/>
  <c r="N46" i="4"/>
  <c r="K15" i="4"/>
  <c r="K204" i="4" s="1"/>
  <c r="K46" i="4"/>
  <c r="K61" i="4"/>
  <c r="I206" i="4"/>
  <c r="H206" i="4"/>
  <c r="K16" i="4"/>
  <c r="K206" i="7" s="1"/>
  <c r="K207" i="7" s="1"/>
  <c r="K211" i="7" s="1"/>
  <c r="I64" i="4"/>
  <c r="H64" i="4"/>
  <c r="N61" i="4"/>
  <c r="G33" i="4"/>
  <c r="N16" i="4"/>
  <c r="N206" i="7" s="1"/>
  <c r="N207" i="7" s="1"/>
  <c r="N211" i="7" s="1"/>
  <c r="N22" i="4"/>
  <c r="H53" i="4"/>
  <c r="F22" i="4"/>
  <c r="F23" i="4" s="1"/>
  <c r="H158" i="4"/>
  <c r="I53" i="4"/>
  <c r="I158" i="4"/>
  <c r="S20" i="4"/>
  <c r="S19" i="4"/>
  <c r="H16" i="4"/>
  <c r="H206" i="7" s="1"/>
  <c r="H207" i="7" s="1"/>
  <c r="H211" i="7" s="1"/>
  <c r="H46" i="4"/>
  <c r="H61" i="4"/>
  <c r="L14" i="4"/>
  <c r="I14" i="4"/>
  <c r="I15" i="4" s="1"/>
  <c r="I204" i="4" s="1"/>
  <c r="F14" i="4"/>
  <c r="N218" i="7" l="1"/>
  <c r="N51" i="4"/>
  <c r="H51" i="4"/>
  <c r="H218" i="7"/>
  <c r="K218" i="7"/>
  <c r="K51" i="4"/>
  <c r="M53" i="7"/>
  <c r="M69" i="7" s="1"/>
  <c r="M212" i="4" s="1"/>
  <c r="M215" i="4" s="1"/>
  <c r="L212" i="4"/>
  <c r="L215" i="4" s="1"/>
  <c r="N23" i="4"/>
  <c r="N206" i="4" s="1"/>
  <c r="N53" i="4"/>
  <c r="M55" i="4"/>
  <c r="M66" i="4"/>
  <c r="L15" i="4"/>
  <c r="L204" i="4" s="1"/>
  <c r="L46" i="4"/>
  <c r="L61" i="4"/>
  <c r="G55" i="4"/>
  <c r="M33" i="4"/>
  <c r="M207" i="4" s="1"/>
  <c r="M159" i="4"/>
  <c r="G207" i="4"/>
  <c r="F206" i="4"/>
  <c r="F15" i="4"/>
  <c r="F204" i="4" s="1"/>
  <c r="F64" i="4"/>
  <c r="L16" i="4"/>
  <c r="L206" i="7" s="1"/>
  <c r="L207" i="7" s="1"/>
  <c r="L211" i="7" s="1"/>
  <c r="G66" i="4"/>
  <c r="G159" i="4"/>
  <c r="J33" i="4"/>
  <c r="N154" i="4"/>
  <c r="N158" i="4"/>
  <c r="N64" i="4"/>
  <c r="F158" i="4"/>
  <c r="F53" i="4"/>
  <c r="E22" i="4"/>
  <c r="F16" i="4"/>
  <c r="F206" i="7" s="1"/>
  <c r="F207" i="7" s="1"/>
  <c r="F211" i="7" s="1"/>
  <c r="F46" i="4"/>
  <c r="F61" i="4"/>
  <c r="I16" i="4"/>
  <c r="I206" i="7" s="1"/>
  <c r="I207" i="7" s="1"/>
  <c r="I211" i="7" s="1"/>
  <c r="I46" i="4"/>
  <c r="I61" i="4"/>
  <c r="J154" i="4"/>
  <c r="M154" i="4"/>
  <c r="K154" i="4"/>
  <c r="F218" i="7" l="1"/>
  <c r="F51" i="4"/>
  <c r="L51" i="4"/>
  <c r="L218" i="7"/>
  <c r="I218" i="7"/>
  <c r="I51" i="4"/>
  <c r="E23" i="4"/>
  <c r="S23" i="4" s="1"/>
  <c r="S22" i="4"/>
  <c r="N53" i="7"/>
  <c r="N69" i="7" s="1"/>
  <c r="N212" i="4" s="1"/>
  <c r="N215" i="4" s="1"/>
  <c r="L154" i="4"/>
  <c r="K33" i="4"/>
  <c r="K207" i="4" s="1"/>
  <c r="K55" i="4"/>
  <c r="K66" i="4"/>
  <c r="K159" i="4"/>
  <c r="J55" i="4"/>
  <c r="J66" i="4"/>
  <c r="J159" i="4"/>
  <c r="J207" i="4"/>
  <c r="H33" i="4"/>
  <c r="E158" i="4"/>
  <c r="S158" i="4" s="1"/>
  <c r="E53" i="4"/>
  <c r="E64" i="4"/>
  <c r="H154" i="4"/>
  <c r="I154" i="4"/>
  <c r="G154" i="4"/>
  <c r="E206" i="4" l="1"/>
  <c r="S206" i="4" s="1"/>
  <c r="O53" i="7"/>
  <c r="O69" i="7" s="1"/>
  <c r="O212" i="4" s="1"/>
  <c r="N33" i="4"/>
  <c r="N207" i="4" s="1"/>
  <c r="N55" i="4"/>
  <c r="N66" i="4"/>
  <c r="H159" i="4"/>
  <c r="L33" i="4"/>
  <c r="L55" i="4"/>
  <c r="L66" i="4"/>
  <c r="H66" i="4"/>
  <c r="L159" i="4"/>
  <c r="H55" i="4"/>
  <c r="N159" i="4"/>
  <c r="H207" i="4"/>
  <c r="I33" i="4"/>
  <c r="S53" i="4"/>
  <c r="T158" i="4"/>
  <c r="F33" i="4"/>
  <c r="S64" i="4"/>
  <c r="E14" i="4"/>
  <c r="S14" i="4" s="1"/>
  <c r="C221" i="4" l="1"/>
  <c r="O215" i="4"/>
  <c r="P53" i="7"/>
  <c r="S53" i="7" s="1"/>
  <c r="L207" i="4"/>
  <c r="I66" i="4"/>
  <c r="I159" i="4"/>
  <c r="I55" i="4"/>
  <c r="F66" i="4"/>
  <c r="F207" i="4"/>
  <c r="I207" i="4"/>
  <c r="E15" i="4"/>
  <c r="S15" i="4" s="1"/>
  <c r="F159" i="4"/>
  <c r="F55" i="4"/>
  <c r="E46" i="4"/>
  <c r="E61" i="4"/>
  <c r="E16" i="4"/>
  <c r="S16" i="4" l="1"/>
  <c r="T154" i="4" s="1"/>
  <c r="E206" i="7"/>
  <c r="P69" i="7"/>
  <c r="E204" i="4"/>
  <c r="S28" i="4"/>
  <c r="S30" i="4"/>
  <c r="S46" i="4"/>
  <c r="S61" i="4"/>
  <c r="F154" i="4"/>
  <c r="E207" i="7" l="1"/>
  <c r="S206" i="7"/>
  <c r="S204" i="4"/>
  <c r="S69" i="7"/>
  <c r="P212" i="4"/>
  <c r="E154" i="4"/>
  <c r="S154" i="4" s="1"/>
  <c r="S207" i="7" l="1"/>
  <c r="E211" i="7"/>
  <c r="P215" i="4"/>
  <c r="S212" i="4"/>
  <c r="E33" i="4"/>
  <c r="S32" i="4"/>
  <c r="T159" i="4" s="1"/>
  <c r="E66" i="4"/>
  <c r="E55" i="4"/>
  <c r="E159" i="4"/>
  <c r="S159" i="4" s="1"/>
  <c r="E218" i="7" l="1"/>
  <c r="E51" i="4"/>
  <c r="S215" i="4"/>
  <c r="S33" i="4"/>
  <c r="E207" i="4"/>
  <c r="S207" i="4" s="1"/>
  <c r="S55" i="4"/>
  <c r="S66" i="4"/>
  <c r="I169" i="4"/>
  <c r="I96" i="4"/>
  <c r="F169" i="4"/>
  <c r="F96" i="4"/>
  <c r="H169" i="4"/>
  <c r="H96" i="4"/>
  <c r="G169" i="4"/>
  <c r="G96" i="4"/>
  <c r="G103" i="4" l="1"/>
  <c r="G184" i="4" s="1"/>
  <c r="H103" i="4"/>
  <c r="H184" i="4" s="1"/>
  <c r="I103" i="4"/>
  <c r="I184" i="4" s="1"/>
  <c r="F103" i="4"/>
  <c r="F184" i="4" s="1"/>
  <c r="S430" i="3" l="1"/>
  <c r="S405" i="3"/>
  <c r="S428" i="3"/>
  <c r="S420" i="3"/>
  <c r="L447" i="3"/>
  <c r="G447" i="3"/>
  <c r="S424" i="3"/>
  <c r="E447" i="3"/>
  <c r="S423" i="3"/>
  <c r="N447" i="3"/>
  <c r="S408" i="3"/>
  <c r="S421" i="3"/>
  <c r="S425" i="3"/>
  <c r="K447" i="3"/>
  <c r="Q447" i="3"/>
  <c r="M447" i="3"/>
  <c r="S422" i="3"/>
  <c r="H447" i="3"/>
  <c r="O447" i="3"/>
  <c r="I447" i="3"/>
  <c r="J447" i="3"/>
  <c r="F447" i="3"/>
  <c r="S426" i="3"/>
  <c r="P447" i="3"/>
  <c r="J330" i="3" l="1"/>
  <c r="J334" i="3"/>
  <c r="J333" i="3"/>
  <c r="J336" i="3"/>
  <c r="J338" i="3"/>
  <c r="J337" i="3"/>
  <c r="J332" i="3"/>
  <c r="J331" i="3"/>
  <c r="J335" i="3"/>
  <c r="J339" i="3"/>
  <c r="J343" i="3"/>
  <c r="J355" i="3"/>
  <c r="J346" i="3"/>
  <c r="J353" i="3"/>
  <c r="J342" i="3"/>
  <c r="J341" i="3"/>
  <c r="J351" i="3"/>
  <c r="J354" i="3"/>
  <c r="J344" i="3"/>
  <c r="J340" i="3"/>
  <c r="J352" i="3"/>
  <c r="J345" i="3"/>
  <c r="J356" i="3"/>
  <c r="J347" i="3"/>
  <c r="J350" i="3"/>
  <c r="J357" i="3"/>
  <c r="J372" i="3"/>
  <c r="J374" i="3"/>
  <c r="J371" i="3"/>
  <c r="J358" i="3"/>
  <c r="J361" i="3"/>
  <c r="J375" i="3"/>
  <c r="J370" i="3"/>
  <c r="J369" i="3"/>
  <c r="J377" i="3"/>
  <c r="J376" i="3"/>
  <c r="J359" i="3"/>
  <c r="J366" i="3"/>
  <c r="J360" i="3"/>
  <c r="J373" i="3"/>
  <c r="J363" i="3"/>
  <c r="J368" i="3"/>
  <c r="J380" i="3"/>
  <c r="J379" i="3"/>
  <c r="J365" i="3"/>
  <c r="J364" i="3"/>
  <c r="J367" i="3"/>
  <c r="J378" i="3"/>
  <c r="J362" i="3"/>
  <c r="L330" i="3"/>
  <c r="L332" i="3"/>
  <c r="L331" i="3"/>
  <c r="L333" i="3"/>
  <c r="L336" i="3"/>
  <c r="L335" i="3"/>
  <c r="L334" i="3"/>
  <c r="L337" i="3"/>
  <c r="L338" i="3"/>
  <c r="L339" i="3"/>
  <c r="L341" i="3"/>
  <c r="L343" i="3"/>
  <c r="L344" i="3"/>
  <c r="L340" i="3"/>
  <c r="L342" i="3"/>
  <c r="L347" i="3"/>
  <c r="L350" i="3"/>
  <c r="L358" i="3"/>
  <c r="L353" i="3"/>
  <c r="L354" i="3"/>
  <c r="L346" i="3"/>
  <c r="L345" i="3"/>
  <c r="L352" i="3"/>
  <c r="L355" i="3"/>
  <c r="L357" i="3"/>
  <c r="L351" i="3"/>
  <c r="L356" i="3"/>
  <c r="L359" i="3"/>
  <c r="L373" i="3"/>
  <c r="L363" i="3"/>
  <c r="L380" i="3"/>
  <c r="L365" i="3"/>
  <c r="L366" i="3"/>
  <c r="L368" i="3"/>
  <c r="L364" i="3"/>
  <c r="L379" i="3"/>
  <c r="L370" i="3"/>
  <c r="L372" i="3"/>
  <c r="L371" i="3"/>
  <c r="L362" i="3"/>
  <c r="L374" i="3"/>
  <c r="L361" i="3"/>
  <c r="L369" i="3"/>
  <c r="L377" i="3"/>
  <c r="L375" i="3"/>
  <c r="L367" i="3"/>
  <c r="L378" i="3"/>
  <c r="L360" i="3"/>
  <c r="L376" i="3"/>
  <c r="H330" i="3"/>
  <c r="H334" i="3"/>
  <c r="H338" i="3"/>
  <c r="H332" i="3"/>
  <c r="H331" i="3"/>
  <c r="H337" i="3"/>
  <c r="H333" i="3"/>
  <c r="H336" i="3"/>
  <c r="H335" i="3"/>
  <c r="H339" i="3"/>
  <c r="H344" i="3"/>
  <c r="H341" i="3"/>
  <c r="H352" i="3"/>
  <c r="H342" i="3"/>
  <c r="H340" i="3"/>
  <c r="H354" i="3"/>
  <c r="H343" i="3"/>
  <c r="H350" i="3"/>
  <c r="H351" i="3"/>
  <c r="H346" i="3"/>
  <c r="H347" i="3"/>
  <c r="H345" i="3"/>
  <c r="H355" i="3"/>
  <c r="H353" i="3"/>
  <c r="H368" i="3"/>
  <c r="H370" i="3"/>
  <c r="H357" i="3"/>
  <c r="H371" i="3"/>
  <c r="H373" i="3"/>
  <c r="H380" i="3"/>
  <c r="H359" i="3"/>
  <c r="H369" i="3"/>
  <c r="H364" i="3"/>
  <c r="H360" i="3"/>
  <c r="H367" i="3"/>
  <c r="H376" i="3"/>
  <c r="H379" i="3"/>
  <c r="H362" i="3"/>
  <c r="H377" i="3"/>
  <c r="H363" i="3"/>
  <c r="H372" i="3"/>
  <c r="H375" i="3"/>
  <c r="H365" i="3"/>
  <c r="H358" i="3"/>
  <c r="H378" i="3"/>
  <c r="H356" i="3"/>
  <c r="H374" i="3"/>
  <c r="H366" i="3"/>
  <c r="H361" i="3"/>
  <c r="K330" i="3"/>
  <c r="K331" i="3"/>
  <c r="L266" i="3" s="1"/>
  <c r="K334" i="3"/>
  <c r="L269" i="3" s="1"/>
  <c r="K336" i="3"/>
  <c r="K332" i="3"/>
  <c r="L267" i="3" s="1"/>
  <c r="K333" i="3"/>
  <c r="L268" i="3" s="1"/>
  <c r="K337" i="3"/>
  <c r="K338" i="3"/>
  <c r="K335" i="3"/>
  <c r="L270" i="3" s="1"/>
  <c r="K339" i="3"/>
  <c r="K341" i="3"/>
  <c r="L276" i="3" s="1"/>
  <c r="L212" i="3" s="1"/>
  <c r="K342" i="3"/>
  <c r="K340" i="3"/>
  <c r="L275" i="3" s="1"/>
  <c r="L211" i="3" s="1"/>
  <c r="K343" i="3"/>
  <c r="K344" i="3"/>
  <c r="L279" i="3" s="1"/>
  <c r="L215" i="3" s="1"/>
  <c r="K352" i="3"/>
  <c r="K345" i="3"/>
  <c r="L280" i="3" s="1"/>
  <c r="K350" i="3"/>
  <c r="K351" i="3"/>
  <c r="L286" i="3" s="1"/>
  <c r="K354" i="3"/>
  <c r="K357" i="3"/>
  <c r="K356" i="3"/>
  <c r="L291" i="3" s="1"/>
  <c r="L227" i="3" s="1"/>
  <c r="K347" i="3"/>
  <c r="K355" i="3"/>
  <c r="K353" i="3"/>
  <c r="L288" i="3" s="1"/>
  <c r="K346" i="3"/>
  <c r="K358" i="3"/>
  <c r="L293" i="3" s="1"/>
  <c r="L229" i="3" s="1"/>
  <c r="K367" i="3"/>
  <c r="L302" i="3" s="1"/>
  <c r="K360" i="3"/>
  <c r="K375" i="3"/>
  <c r="K366" i="3"/>
  <c r="L301" i="3" s="1"/>
  <c r="L237" i="3" s="1"/>
  <c r="K359" i="3"/>
  <c r="K380" i="3"/>
  <c r="L315" i="3" s="1"/>
  <c r="K374" i="3"/>
  <c r="K373" i="3"/>
  <c r="L308" i="3" s="1"/>
  <c r="K364" i="3"/>
  <c r="L299" i="3" s="1"/>
  <c r="L235" i="3" s="1"/>
  <c r="K370" i="3"/>
  <c r="K379" i="3"/>
  <c r="L314" i="3" s="1"/>
  <c r="K378" i="3"/>
  <c r="L313" i="3" s="1"/>
  <c r="K369" i="3"/>
  <c r="L304" i="3" s="1"/>
  <c r="K363" i="3"/>
  <c r="L298" i="3" s="1"/>
  <c r="L234" i="3" s="1"/>
  <c r="K372" i="3"/>
  <c r="L307" i="3" s="1"/>
  <c r="K365" i="3"/>
  <c r="K361" i="3"/>
  <c r="L296" i="3" s="1"/>
  <c r="L232" i="3" s="1"/>
  <c r="K362" i="3"/>
  <c r="K368" i="3"/>
  <c r="L303" i="3" s="1"/>
  <c r="K376" i="3"/>
  <c r="L311" i="3" s="1"/>
  <c r="K371" i="3"/>
  <c r="L306" i="3" s="1"/>
  <c r="K377" i="3"/>
  <c r="N330" i="3"/>
  <c r="N335" i="3"/>
  <c r="N332" i="3"/>
  <c r="N331" i="3"/>
  <c r="N334" i="3"/>
  <c r="N333" i="3"/>
  <c r="N338" i="3"/>
  <c r="N337" i="3"/>
  <c r="N336" i="3"/>
  <c r="N339" i="3"/>
  <c r="N342" i="3"/>
  <c r="N340" i="3"/>
  <c r="N341" i="3"/>
  <c r="N358" i="3"/>
  <c r="N350" i="3"/>
  <c r="N357" i="3"/>
  <c r="N355" i="3"/>
  <c r="N344" i="3"/>
  <c r="N343" i="3"/>
  <c r="N346" i="3"/>
  <c r="N353" i="3"/>
  <c r="N354" i="3"/>
  <c r="N359" i="3"/>
  <c r="N345" i="3"/>
  <c r="N356" i="3"/>
  <c r="N352" i="3"/>
  <c r="N360" i="3"/>
  <c r="N347" i="3"/>
  <c r="N351" i="3"/>
  <c r="N369" i="3"/>
  <c r="N371" i="3"/>
  <c r="N377" i="3"/>
  <c r="N379" i="3"/>
  <c r="N361" i="3"/>
  <c r="N367" i="3"/>
  <c r="N370" i="3"/>
  <c r="N363" i="3"/>
  <c r="N372" i="3"/>
  <c r="N362" i="3"/>
  <c r="N373" i="3"/>
  <c r="N376" i="3"/>
  <c r="N380" i="3"/>
  <c r="N374" i="3"/>
  <c r="N366" i="3"/>
  <c r="N378" i="3"/>
  <c r="N364" i="3"/>
  <c r="N375" i="3"/>
  <c r="N365" i="3"/>
  <c r="N368" i="3"/>
  <c r="G330" i="3"/>
  <c r="H265" i="3" s="1"/>
  <c r="G336" i="3"/>
  <c r="G331" i="3"/>
  <c r="H266" i="3" s="1"/>
  <c r="G334" i="3"/>
  <c r="H269" i="3" s="1"/>
  <c r="G332" i="3"/>
  <c r="H267" i="3" s="1"/>
  <c r="G337" i="3"/>
  <c r="H272" i="3" s="1"/>
  <c r="G333" i="3"/>
  <c r="G338" i="3"/>
  <c r="G335" i="3"/>
  <c r="G339" i="3"/>
  <c r="G343" i="3"/>
  <c r="H278" i="3" s="1"/>
  <c r="H214" i="3" s="1"/>
  <c r="G340" i="3"/>
  <c r="H275" i="3" s="1"/>
  <c r="H211" i="3" s="1"/>
  <c r="G342" i="3"/>
  <c r="G341" i="3"/>
  <c r="G362" i="3"/>
  <c r="H297" i="3" s="1"/>
  <c r="H233" i="3" s="1"/>
  <c r="G344" i="3"/>
  <c r="H279" i="3" s="1"/>
  <c r="H215" i="3" s="1"/>
  <c r="G358" i="3"/>
  <c r="H293" i="3" s="1"/>
  <c r="H229" i="3" s="1"/>
  <c r="G377" i="3"/>
  <c r="G356" i="3"/>
  <c r="H291" i="3" s="1"/>
  <c r="H227" i="3" s="1"/>
  <c r="G353" i="3"/>
  <c r="G346" i="3"/>
  <c r="H281" i="3" s="1"/>
  <c r="G355" i="3"/>
  <c r="G363" i="3"/>
  <c r="G347" i="3"/>
  <c r="H282" i="3" s="1"/>
  <c r="G372" i="3"/>
  <c r="H307" i="3" s="1"/>
  <c r="G370" i="3"/>
  <c r="H305" i="3" s="1"/>
  <c r="G359" i="3"/>
  <c r="G361" i="3"/>
  <c r="H296" i="3" s="1"/>
  <c r="H232" i="3" s="1"/>
  <c r="G376" i="3"/>
  <c r="H311" i="3" s="1"/>
  <c r="G373" i="3"/>
  <c r="H308" i="3" s="1"/>
  <c r="G379" i="3"/>
  <c r="H314" i="3" s="1"/>
  <c r="G352" i="3"/>
  <c r="G367" i="3"/>
  <c r="G378" i="3"/>
  <c r="H313" i="3" s="1"/>
  <c r="G380" i="3"/>
  <c r="H315" i="3" s="1"/>
  <c r="G365" i="3"/>
  <c r="H300" i="3" s="1"/>
  <c r="H236" i="3" s="1"/>
  <c r="G366" i="3"/>
  <c r="H301" i="3" s="1"/>
  <c r="H237" i="3" s="1"/>
  <c r="G371" i="3"/>
  <c r="G374" i="3"/>
  <c r="G357" i="3"/>
  <c r="H292" i="3" s="1"/>
  <c r="H228" i="3" s="1"/>
  <c r="G375" i="3"/>
  <c r="H310" i="3" s="1"/>
  <c r="G368" i="3"/>
  <c r="H303" i="3" s="1"/>
  <c r="G364" i="3"/>
  <c r="H299" i="3" s="1"/>
  <c r="H235" i="3" s="1"/>
  <c r="G345" i="3"/>
  <c r="H280" i="3" s="1"/>
  <c r="G369" i="3"/>
  <c r="H304" i="3" s="1"/>
  <c r="G351" i="3"/>
  <c r="G350" i="3"/>
  <c r="H285" i="3" s="1"/>
  <c r="G354" i="3"/>
  <c r="G360" i="3"/>
  <c r="H295" i="3" s="1"/>
  <c r="H231" i="3" s="1"/>
  <c r="F330" i="3"/>
  <c r="F338" i="3"/>
  <c r="F337" i="3"/>
  <c r="G272" i="3" s="1"/>
  <c r="F336" i="3"/>
  <c r="G271" i="3" s="1"/>
  <c r="F331" i="3"/>
  <c r="F332" i="3"/>
  <c r="F334" i="3"/>
  <c r="G269" i="3" s="1"/>
  <c r="F333" i="3"/>
  <c r="G268" i="3" s="1"/>
  <c r="F335" i="3"/>
  <c r="F339" i="3"/>
  <c r="G274" i="3" s="1"/>
  <c r="G210" i="3" s="1"/>
  <c r="F340" i="3"/>
  <c r="G275" i="3" s="1"/>
  <c r="G211" i="3" s="1"/>
  <c r="F343" i="3"/>
  <c r="G278" i="3" s="1"/>
  <c r="G214" i="3" s="1"/>
  <c r="F341" i="3"/>
  <c r="G276" i="3" s="1"/>
  <c r="G212" i="3" s="1"/>
  <c r="F342" i="3"/>
  <c r="F363" i="3"/>
  <c r="G298" i="3" s="1"/>
  <c r="G234" i="3" s="1"/>
  <c r="F357" i="3"/>
  <c r="F380" i="3"/>
  <c r="F362" i="3"/>
  <c r="G297" i="3" s="1"/>
  <c r="G233" i="3" s="1"/>
  <c r="F367" i="3"/>
  <c r="F353" i="3"/>
  <c r="F360" i="3"/>
  <c r="F356" i="3"/>
  <c r="G291" i="3" s="1"/>
  <c r="G227" i="3" s="1"/>
  <c r="F351" i="3"/>
  <c r="G286" i="3" s="1"/>
  <c r="F361" i="3"/>
  <c r="F359" i="3"/>
  <c r="F374" i="3"/>
  <c r="G309" i="3" s="1"/>
  <c r="F366" i="3"/>
  <c r="F350" i="3"/>
  <c r="G285" i="3" s="1"/>
  <c r="F376" i="3"/>
  <c r="F370" i="3"/>
  <c r="G305" i="3" s="1"/>
  <c r="F354" i="3"/>
  <c r="G289" i="3" s="1"/>
  <c r="F346" i="3"/>
  <c r="G281" i="3" s="1"/>
  <c r="F368" i="3"/>
  <c r="G303" i="3" s="1"/>
  <c r="F373" i="3"/>
  <c r="G308" i="3" s="1"/>
  <c r="F372" i="3"/>
  <c r="F347" i="3"/>
  <c r="F358" i="3"/>
  <c r="F371" i="3"/>
  <c r="F365" i="3"/>
  <c r="G300" i="3" s="1"/>
  <c r="G236" i="3" s="1"/>
  <c r="F352" i="3"/>
  <c r="F345" i="3"/>
  <c r="F355" i="3"/>
  <c r="G290" i="3" s="1"/>
  <c r="G226" i="3" s="1"/>
  <c r="F378" i="3"/>
  <c r="G313" i="3" s="1"/>
  <c r="F344" i="3"/>
  <c r="F364" i="3"/>
  <c r="F377" i="3"/>
  <c r="G312" i="3" s="1"/>
  <c r="F375" i="3"/>
  <c r="F379" i="3"/>
  <c r="G314" i="3" s="1"/>
  <c r="F369" i="3"/>
  <c r="O330" i="3"/>
  <c r="O337" i="3"/>
  <c r="O333" i="3"/>
  <c r="O331" i="3"/>
  <c r="O334" i="3"/>
  <c r="O332" i="3"/>
  <c r="O336" i="3"/>
  <c r="O335" i="3"/>
  <c r="O338" i="3"/>
  <c r="O339" i="3"/>
  <c r="O341" i="3"/>
  <c r="O356" i="3"/>
  <c r="O358" i="3"/>
  <c r="O345" i="3"/>
  <c r="O359" i="3"/>
  <c r="O347" i="3"/>
  <c r="O346" i="3"/>
  <c r="O343" i="3"/>
  <c r="O355" i="3"/>
  <c r="O357" i="3"/>
  <c r="O344" i="3"/>
  <c r="O340" i="3"/>
  <c r="O342" i="3"/>
  <c r="O351" i="3"/>
  <c r="O354" i="3"/>
  <c r="O353" i="3"/>
  <c r="O352" i="3"/>
  <c r="O361" i="3"/>
  <c r="O350" i="3"/>
  <c r="O360" i="3"/>
  <c r="O362" i="3"/>
  <c r="O363" i="3"/>
  <c r="O367" i="3"/>
  <c r="O366" i="3"/>
  <c r="O371" i="3"/>
  <c r="O378" i="3"/>
  <c r="O380" i="3"/>
  <c r="O365" i="3"/>
  <c r="O370" i="3"/>
  <c r="O372" i="3"/>
  <c r="O364" i="3"/>
  <c r="O373" i="3"/>
  <c r="O379" i="3"/>
  <c r="O376" i="3"/>
  <c r="O368" i="3"/>
  <c r="O369" i="3"/>
  <c r="O374" i="3"/>
  <c r="O377" i="3"/>
  <c r="O375" i="3"/>
  <c r="P330" i="3"/>
  <c r="Q265" i="3" s="1"/>
  <c r="P332" i="3"/>
  <c r="Q267" i="3" s="1"/>
  <c r="P331" i="3"/>
  <c r="P337" i="3"/>
  <c r="Q272" i="3" s="1"/>
  <c r="P333" i="3"/>
  <c r="Q268" i="3" s="1"/>
  <c r="P334" i="3"/>
  <c r="Q269" i="3" s="1"/>
  <c r="P338" i="3"/>
  <c r="Q273" i="3" s="1"/>
  <c r="Q209" i="3" s="1"/>
  <c r="P335" i="3"/>
  <c r="Q270" i="3" s="1"/>
  <c r="P336" i="3"/>
  <c r="Q271" i="3" s="1"/>
  <c r="P339" i="3"/>
  <c r="Q274" i="3" s="1"/>
  <c r="Q210" i="3" s="1"/>
  <c r="P343" i="3"/>
  <c r="P344" i="3"/>
  <c r="Q279" i="3" s="1"/>
  <c r="Q215" i="3" s="1"/>
  <c r="P340" i="3"/>
  <c r="Q275" i="3" s="1"/>
  <c r="Q211" i="3" s="1"/>
  <c r="P359" i="3"/>
  <c r="Q294" i="3" s="1"/>
  <c r="Q230" i="3" s="1"/>
  <c r="P360" i="3"/>
  <c r="Q295" i="3" s="1"/>
  <c r="Q231" i="3" s="1"/>
  <c r="P342" i="3"/>
  <c r="Q277" i="3" s="1"/>
  <c r="Q213" i="3" s="1"/>
  <c r="P341" i="3"/>
  <c r="Q276" i="3" s="1"/>
  <c r="Q212" i="3" s="1"/>
  <c r="P355" i="3"/>
  <c r="Q290" i="3" s="1"/>
  <c r="Q226" i="3" s="1"/>
  <c r="P350" i="3"/>
  <c r="Q285" i="3" s="1"/>
  <c r="P346" i="3"/>
  <c r="Q281" i="3" s="1"/>
  <c r="P354" i="3"/>
  <c r="Q289" i="3" s="1"/>
  <c r="P347" i="3"/>
  <c r="Q282" i="3" s="1"/>
  <c r="P362" i="3"/>
  <c r="Q297" i="3" s="1"/>
  <c r="Q233" i="3" s="1"/>
  <c r="P361" i="3"/>
  <c r="Q296" i="3" s="1"/>
  <c r="Q232" i="3" s="1"/>
  <c r="P352" i="3"/>
  <c r="Q287" i="3" s="1"/>
  <c r="P351" i="3"/>
  <c r="Q286" i="3" s="1"/>
  <c r="P345" i="3"/>
  <c r="Q280" i="3" s="1"/>
  <c r="P358" i="3"/>
  <c r="Q293" i="3" s="1"/>
  <c r="Q229" i="3" s="1"/>
  <c r="P356" i="3"/>
  <c r="Q291" i="3" s="1"/>
  <c r="Q227" i="3" s="1"/>
  <c r="P353" i="3"/>
  <c r="Q288" i="3" s="1"/>
  <c r="P357" i="3"/>
  <c r="Q292" i="3" s="1"/>
  <c r="Q228" i="3" s="1"/>
  <c r="P363" i="3"/>
  <c r="Q298" i="3" s="1"/>
  <c r="Q234" i="3" s="1"/>
  <c r="P364" i="3"/>
  <c r="Q299" i="3" s="1"/>
  <c r="Q235" i="3" s="1"/>
  <c r="P365" i="3"/>
  <c r="Q300" i="3" s="1"/>
  <c r="Q236" i="3" s="1"/>
  <c r="P369" i="3"/>
  <c r="Q304" i="3" s="1"/>
  <c r="P374" i="3"/>
  <c r="Q309" i="3" s="1"/>
  <c r="P375" i="3"/>
  <c r="Q310" i="3" s="1"/>
  <c r="P379" i="3"/>
  <c r="Q314" i="3" s="1"/>
  <c r="P368" i="3"/>
  <c r="Q303" i="3" s="1"/>
  <c r="P372" i="3"/>
  <c r="Q307" i="3" s="1"/>
  <c r="P370" i="3"/>
  <c r="Q305" i="3" s="1"/>
  <c r="P377" i="3"/>
  <c r="Q312" i="3" s="1"/>
  <c r="P366" i="3"/>
  <c r="Q301" i="3" s="1"/>
  <c r="Q237" i="3" s="1"/>
  <c r="P367" i="3"/>
  <c r="Q302" i="3" s="1"/>
  <c r="P376" i="3"/>
  <c r="Q311" i="3" s="1"/>
  <c r="P373" i="3"/>
  <c r="Q308" i="3" s="1"/>
  <c r="P380" i="3"/>
  <c r="Q315" i="3" s="1"/>
  <c r="P371" i="3"/>
  <c r="Q306" i="3" s="1"/>
  <c r="P378" i="3"/>
  <c r="Q313" i="3" s="1"/>
  <c r="I330" i="3"/>
  <c r="I333" i="3"/>
  <c r="I332" i="3"/>
  <c r="I334" i="3"/>
  <c r="I338" i="3"/>
  <c r="I331" i="3"/>
  <c r="J266" i="3" s="1"/>
  <c r="I335" i="3"/>
  <c r="I336" i="3"/>
  <c r="I337" i="3"/>
  <c r="J272" i="3" s="1"/>
  <c r="I339" i="3"/>
  <c r="I344" i="3"/>
  <c r="J279" i="3" s="1"/>
  <c r="J215" i="3" s="1"/>
  <c r="I341" i="3"/>
  <c r="J276" i="3" s="1"/>
  <c r="J212" i="3" s="1"/>
  <c r="I340" i="3"/>
  <c r="J275" i="3" s="1"/>
  <c r="J211" i="3" s="1"/>
  <c r="I343" i="3"/>
  <c r="J278" i="3" s="1"/>
  <c r="J214" i="3" s="1"/>
  <c r="I342" i="3"/>
  <c r="J277" i="3" s="1"/>
  <c r="J213" i="3" s="1"/>
  <c r="I355" i="3"/>
  <c r="J290" i="3" s="1"/>
  <c r="J226" i="3" s="1"/>
  <c r="I346" i="3"/>
  <c r="I350" i="3"/>
  <c r="I353" i="3"/>
  <c r="I354" i="3"/>
  <c r="I347" i="3"/>
  <c r="J282" i="3" s="1"/>
  <c r="I345" i="3"/>
  <c r="I351" i="3"/>
  <c r="I352" i="3"/>
  <c r="J287" i="3" s="1"/>
  <c r="I356" i="3"/>
  <c r="J291" i="3" s="1"/>
  <c r="J227" i="3" s="1"/>
  <c r="I363" i="3"/>
  <c r="I372" i="3"/>
  <c r="J307" i="3" s="1"/>
  <c r="I366" i="3"/>
  <c r="I360" i="3"/>
  <c r="J295" i="3" s="1"/>
  <c r="J231" i="3" s="1"/>
  <c r="I357" i="3"/>
  <c r="I369" i="3"/>
  <c r="I378" i="3"/>
  <c r="J313" i="3" s="1"/>
  <c r="I379" i="3"/>
  <c r="J314" i="3" s="1"/>
  <c r="I376" i="3"/>
  <c r="J311" i="3" s="1"/>
  <c r="I365" i="3"/>
  <c r="I361" i="3"/>
  <c r="J296" i="3" s="1"/>
  <c r="J232" i="3" s="1"/>
  <c r="I368" i="3"/>
  <c r="J303" i="3" s="1"/>
  <c r="I377" i="3"/>
  <c r="J312" i="3" s="1"/>
  <c r="I358" i="3"/>
  <c r="I364" i="3"/>
  <c r="I370" i="3"/>
  <c r="I359" i="3"/>
  <c r="I380" i="3"/>
  <c r="J315" i="3" s="1"/>
  <c r="I375" i="3"/>
  <c r="J310" i="3" s="1"/>
  <c r="I371" i="3"/>
  <c r="I367" i="3"/>
  <c r="J302" i="3" s="1"/>
  <c r="I362" i="3"/>
  <c r="I374" i="3"/>
  <c r="J309" i="3" s="1"/>
  <c r="I373" i="3"/>
  <c r="J308" i="3" s="1"/>
  <c r="M330" i="3"/>
  <c r="M337" i="3"/>
  <c r="M336" i="3"/>
  <c r="M333" i="3"/>
  <c r="M332" i="3"/>
  <c r="N267" i="3" s="1"/>
  <c r="M338" i="3"/>
  <c r="N273" i="3" s="1"/>
  <c r="N209" i="3" s="1"/>
  <c r="M334" i="3"/>
  <c r="N269" i="3" s="1"/>
  <c r="M335" i="3"/>
  <c r="N270" i="3" s="1"/>
  <c r="M331" i="3"/>
  <c r="N266" i="3" s="1"/>
  <c r="M339" i="3"/>
  <c r="M340" i="3"/>
  <c r="M342" i="3"/>
  <c r="N277" i="3" s="1"/>
  <c r="N213" i="3" s="1"/>
  <c r="M343" i="3"/>
  <c r="N278" i="3" s="1"/>
  <c r="N214" i="3" s="1"/>
  <c r="M344" i="3"/>
  <c r="M341" i="3"/>
  <c r="N276" i="3" s="1"/>
  <c r="N212" i="3" s="1"/>
  <c r="M359" i="3"/>
  <c r="N294" i="3" s="1"/>
  <c r="N230" i="3" s="1"/>
  <c r="M355" i="3"/>
  <c r="M346" i="3"/>
  <c r="N281" i="3" s="1"/>
  <c r="M351" i="3"/>
  <c r="M352" i="3"/>
  <c r="N287" i="3" s="1"/>
  <c r="M354" i="3"/>
  <c r="M358" i="3"/>
  <c r="M350" i="3"/>
  <c r="N285" i="3" s="1"/>
  <c r="M347" i="3"/>
  <c r="N282" i="3" s="1"/>
  <c r="M356" i="3"/>
  <c r="M353" i="3"/>
  <c r="M357" i="3"/>
  <c r="N292" i="3" s="1"/>
  <c r="N228" i="3" s="1"/>
  <c r="M345" i="3"/>
  <c r="N280" i="3" s="1"/>
  <c r="M377" i="3"/>
  <c r="N312" i="3" s="1"/>
  <c r="M365" i="3"/>
  <c r="N300" i="3" s="1"/>
  <c r="N236" i="3" s="1"/>
  <c r="M368" i="3"/>
  <c r="N303" i="3" s="1"/>
  <c r="M363" i="3"/>
  <c r="M361" i="3"/>
  <c r="M364" i="3"/>
  <c r="M373" i="3"/>
  <c r="N308" i="3" s="1"/>
  <c r="M380" i="3"/>
  <c r="N315" i="3" s="1"/>
  <c r="M374" i="3"/>
  <c r="N309" i="3" s="1"/>
  <c r="M372" i="3"/>
  <c r="M362" i="3"/>
  <c r="N297" i="3" s="1"/>
  <c r="N233" i="3" s="1"/>
  <c r="M369" i="3"/>
  <c r="N304" i="3" s="1"/>
  <c r="M360" i="3"/>
  <c r="N295" i="3" s="1"/>
  <c r="N231" i="3" s="1"/>
  <c r="M366" i="3"/>
  <c r="N301" i="3" s="1"/>
  <c r="N237" i="3" s="1"/>
  <c r="M371" i="3"/>
  <c r="N306" i="3" s="1"/>
  <c r="M379" i="3"/>
  <c r="M367" i="3"/>
  <c r="N302" i="3" s="1"/>
  <c r="M370" i="3"/>
  <c r="N305" i="3" s="1"/>
  <c r="M375" i="3"/>
  <c r="N310" i="3" s="1"/>
  <c r="M376" i="3"/>
  <c r="M378" i="3"/>
  <c r="E330" i="3"/>
  <c r="E336" i="3"/>
  <c r="E337" i="3"/>
  <c r="E331" i="3"/>
  <c r="E334" i="3"/>
  <c r="E332" i="3"/>
  <c r="E338" i="3"/>
  <c r="E333" i="3"/>
  <c r="E335" i="3"/>
  <c r="E339" i="3"/>
  <c r="E340" i="3"/>
  <c r="E343" i="3"/>
  <c r="E374" i="3"/>
  <c r="E367" i="3"/>
  <c r="E359" i="3"/>
  <c r="E353" i="3"/>
  <c r="E364" i="3"/>
  <c r="E355" i="3"/>
  <c r="E366" i="3"/>
  <c r="E365" i="3"/>
  <c r="E346" i="3"/>
  <c r="E362" i="3"/>
  <c r="E341" i="3"/>
  <c r="E375" i="3"/>
  <c r="E372" i="3"/>
  <c r="E360" i="3"/>
  <c r="E363" i="3"/>
  <c r="E358" i="3"/>
  <c r="E368" i="3"/>
  <c r="E371" i="3"/>
  <c r="E351" i="3"/>
  <c r="E347" i="3"/>
  <c r="E350" i="3"/>
  <c r="E370" i="3"/>
  <c r="E376" i="3"/>
  <c r="E379" i="3"/>
  <c r="E344" i="3"/>
  <c r="E369" i="3"/>
  <c r="E378" i="3"/>
  <c r="E342" i="3"/>
  <c r="E361" i="3"/>
  <c r="E354" i="3"/>
  <c r="E356" i="3"/>
  <c r="E373" i="3"/>
  <c r="E352" i="3"/>
  <c r="E380" i="3"/>
  <c r="E345" i="3"/>
  <c r="E377" i="3"/>
  <c r="E357" i="3"/>
  <c r="F543" i="3"/>
  <c r="F625" i="3" s="1"/>
  <c r="F115" i="7" s="1"/>
  <c r="E543" i="3"/>
  <c r="E547" i="3" s="1"/>
  <c r="J448" i="3"/>
  <c r="J544" i="3" s="1"/>
  <c r="J543" i="3"/>
  <c r="J625" i="3" s="1"/>
  <c r="J115" i="7" s="1"/>
  <c r="L448" i="3"/>
  <c r="L544" i="3" s="1"/>
  <c r="L543" i="3"/>
  <c r="L625" i="3" s="1"/>
  <c r="L115" i="7" s="1"/>
  <c r="H448" i="3"/>
  <c r="H544" i="3" s="1"/>
  <c r="H543" i="3"/>
  <c r="H625" i="3" s="1"/>
  <c r="H115" i="7" s="1"/>
  <c r="K448" i="3"/>
  <c r="K544" i="3" s="1"/>
  <c r="K543" i="3"/>
  <c r="K625" i="3" s="1"/>
  <c r="K115" i="7" s="1"/>
  <c r="N448" i="3"/>
  <c r="N544" i="3" s="1"/>
  <c r="N543" i="3"/>
  <c r="N625" i="3" s="1"/>
  <c r="N115" i="7" s="1"/>
  <c r="G448" i="3"/>
  <c r="G544" i="3" s="1"/>
  <c r="G543" i="3"/>
  <c r="G625" i="3" s="1"/>
  <c r="G115" i="7" s="1"/>
  <c r="O448" i="3"/>
  <c r="O544" i="3" s="1"/>
  <c r="O543" i="3"/>
  <c r="O625" i="3" s="1"/>
  <c r="O115" i="7" s="1"/>
  <c r="Q448" i="3"/>
  <c r="Q544" i="3" s="1"/>
  <c r="Q543" i="3"/>
  <c r="Q625" i="3" s="1"/>
  <c r="Q115" i="7" s="1"/>
  <c r="P448" i="3"/>
  <c r="P544" i="3" s="1"/>
  <c r="P543" i="3"/>
  <c r="P625" i="3" s="1"/>
  <c r="P115" i="7" s="1"/>
  <c r="I448" i="3"/>
  <c r="I544" i="3" s="1"/>
  <c r="I543" i="3"/>
  <c r="I625" i="3" s="1"/>
  <c r="I115" i="7" s="1"/>
  <c r="M448" i="3"/>
  <c r="M544" i="3" s="1"/>
  <c r="M543" i="3"/>
  <c r="M625" i="3" s="1"/>
  <c r="M115" i="7" s="1"/>
  <c r="S447" i="3"/>
  <c r="E448" i="3"/>
  <c r="E544" i="3" s="1"/>
  <c r="F448" i="3"/>
  <c r="F544" i="3" s="1"/>
  <c r="N311" i="3" l="1"/>
  <c r="N314" i="3"/>
  <c r="N298" i="3"/>
  <c r="N234" i="3" s="1"/>
  <c r="J306" i="3"/>
  <c r="J305" i="3"/>
  <c r="J281" i="3"/>
  <c r="J273" i="3"/>
  <c r="J209" i="3" s="1"/>
  <c r="J265" i="3"/>
  <c r="N313" i="3"/>
  <c r="N291" i="3"/>
  <c r="N227" i="3" s="1"/>
  <c r="N290" i="3"/>
  <c r="N226" i="3" s="1"/>
  <c r="N265" i="3"/>
  <c r="J294" i="3"/>
  <c r="J230" i="3" s="1"/>
  <c r="J298" i="3"/>
  <c r="J234" i="3" s="1"/>
  <c r="J285" i="3"/>
  <c r="N288" i="3"/>
  <c r="J297" i="3"/>
  <c r="J233" i="3" s="1"/>
  <c r="J300" i="3"/>
  <c r="J236" i="3" s="1"/>
  <c r="J270" i="3"/>
  <c r="G299" i="3"/>
  <c r="G235" i="3" s="1"/>
  <c r="G280" i="3"/>
  <c r="G294" i="3"/>
  <c r="G230" i="3" s="1"/>
  <c r="G315" i="3"/>
  <c r="G266" i="3"/>
  <c r="G306" i="3"/>
  <c r="J299" i="3"/>
  <c r="J235" i="3" s="1"/>
  <c r="J301" i="3"/>
  <c r="J237" i="3" s="1"/>
  <c r="J289" i="3"/>
  <c r="J269" i="3"/>
  <c r="G310" i="3"/>
  <c r="G307" i="3"/>
  <c r="G301" i="3"/>
  <c r="G237" i="3" s="1"/>
  <c r="G302" i="3"/>
  <c r="H289" i="3"/>
  <c r="H288" i="3"/>
  <c r="L309" i="3"/>
  <c r="L310" i="3"/>
  <c r="L281" i="3"/>
  <c r="L285" i="3"/>
  <c r="N296" i="3"/>
  <c r="N232" i="3" s="1"/>
  <c r="N289" i="3"/>
  <c r="J292" i="3"/>
  <c r="J228" i="3" s="1"/>
  <c r="J253" i="3" s="1"/>
  <c r="J530" i="3" s="1"/>
  <c r="J274" i="3"/>
  <c r="J210" i="3" s="1"/>
  <c r="G304" i="3"/>
  <c r="G293" i="3"/>
  <c r="G229" i="3" s="1"/>
  <c r="G311" i="3"/>
  <c r="G295" i="3"/>
  <c r="G231" i="3" s="1"/>
  <c r="G270" i="3"/>
  <c r="G265" i="3"/>
  <c r="H306" i="3"/>
  <c r="H276" i="3"/>
  <c r="H212" i="3" s="1"/>
  <c r="H271" i="3"/>
  <c r="L273" i="3"/>
  <c r="L209" i="3" s="1"/>
  <c r="L271" i="3"/>
  <c r="N307" i="3"/>
  <c r="N299" i="3"/>
  <c r="N235" i="3" s="1"/>
  <c r="N293" i="3"/>
  <c r="N229" i="3" s="1"/>
  <c r="N279" i="3"/>
  <c r="N215" i="3" s="1"/>
  <c r="N274" i="3"/>
  <c r="N210" i="3" s="1"/>
  <c r="J293" i="3"/>
  <c r="J229" i="3" s="1"/>
  <c r="J304" i="3"/>
  <c r="J288" i="3"/>
  <c r="G267" i="3"/>
  <c r="H298" i="3"/>
  <c r="H234" i="3" s="1"/>
  <c r="L305" i="3"/>
  <c r="L292" i="3"/>
  <c r="L228" i="3" s="1"/>
  <c r="G279" i="3"/>
  <c r="G215" i="3" s="1"/>
  <c r="G282" i="3"/>
  <c r="G296" i="3"/>
  <c r="G232" i="3" s="1"/>
  <c r="G288" i="3"/>
  <c r="G292" i="3"/>
  <c r="G228" i="3" s="1"/>
  <c r="H302" i="3"/>
  <c r="L300" i="3"/>
  <c r="L236" i="3" s="1"/>
  <c r="L282" i="3"/>
  <c r="L272" i="3"/>
  <c r="H286" i="3"/>
  <c r="H290" i="3"/>
  <c r="H226" i="3" s="1"/>
  <c r="H312" i="3"/>
  <c r="L294" i="3"/>
  <c r="L230" i="3" s="1"/>
  <c r="L290" i="3"/>
  <c r="L226" i="3" s="1"/>
  <c r="L289" i="3"/>
  <c r="H309" i="3"/>
  <c r="H294" i="3"/>
  <c r="H230" i="3" s="1"/>
  <c r="H268" i="3"/>
  <c r="L312" i="3"/>
  <c r="L297" i="3"/>
  <c r="L233" i="3" s="1"/>
  <c r="L295" i="3"/>
  <c r="L231" i="3" s="1"/>
  <c r="F627" i="3"/>
  <c r="F631" i="3" s="1"/>
  <c r="I627" i="3"/>
  <c r="I631" i="3" s="1"/>
  <c r="Q627" i="3"/>
  <c r="Q631" i="3" s="1"/>
  <c r="G627" i="3"/>
  <c r="G631" i="3" s="1"/>
  <c r="K627" i="3"/>
  <c r="K631" i="3" s="1"/>
  <c r="L627" i="3"/>
  <c r="L631" i="3" s="1"/>
  <c r="M627" i="3"/>
  <c r="M631" i="3" s="1"/>
  <c r="P627" i="3"/>
  <c r="P631" i="3" s="1"/>
  <c r="O627" i="3"/>
  <c r="O631" i="3" s="1"/>
  <c r="N627" i="3"/>
  <c r="N631" i="3" s="1"/>
  <c r="H627" i="3"/>
  <c r="H631" i="3" s="1"/>
  <c r="J627" i="3"/>
  <c r="J631" i="3" s="1"/>
  <c r="E542" i="3"/>
  <c r="E625" i="3"/>
  <c r="E115" i="7" s="1"/>
  <c r="S543" i="3"/>
  <c r="S544" i="3" s="1"/>
  <c r="F315" i="3"/>
  <c r="E315" i="3"/>
  <c r="E289" i="3"/>
  <c r="F289" i="3"/>
  <c r="F304" i="3"/>
  <c r="E304" i="3"/>
  <c r="E305" i="3"/>
  <c r="F305" i="3"/>
  <c r="E306" i="3"/>
  <c r="F306" i="3"/>
  <c r="E295" i="3"/>
  <c r="E231" i="3" s="1"/>
  <c r="F295" i="3"/>
  <c r="F231" i="3" s="1"/>
  <c r="E297" i="3"/>
  <c r="E233" i="3" s="1"/>
  <c r="F297" i="3"/>
  <c r="F233" i="3" s="1"/>
  <c r="E290" i="3"/>
  <c r="E226" i="3" s="1"/>
  <c r="F290" i="3"/>
  <c r="F226" i="3" s="1"/>
  <c r="E302" i="3"/>
  <c r="F302" i="3"/>
  <c r="F274" i="3"/>
  <c r="F210" i="3" s="1"/>
  <c r="E274" i="3"/>
  <c r="E210" i="3" s="1"/>
  <c r="F267" i="3"/>
  <c r="E267" i="3"/>
  <c r="E271" i="3"/>
  <c r="F271" i="3"/>
  <c r="M275" i="3"/>
  <c r="M211" i="3" s="1"/>
  <c r="N275" i="3"/>
  <c r="N211" i="3" s="1"/>
  <c r="M271" i="3"/>
  <c r="N271" i="3"/>
  <c r="I271" i="3"/>
  <c r="J271" i="3"/>
  <c r="G287" i="3"/>
  <c r="H287" i="3"/>
  <c r="G273" i="3"/>
  <c r="G209" i="3" s="1"/>
  <c r="H273" i="3"/>
  <c r="H209" i="3" s="1"/>
  <c r="N286" i="3"/>
  <c r="O286" i="3"/>
  <c r="L278" i="3"/>
  <c r="L214" i="3" s="1"/>
  <c r="M278" i="3"/>
  <c r="M214" i="3" s="1"/>
  <c r="J286" i="3"/>
  <c r="K286" i="3"/>
  <c r="P304" i="3"/>
  <c r="P308" i="3"/>
  <c r="P300" i="3"/>
  <c r="P236" i="3" s="1"/>
  <c r="P301" i="3"/>
  <c r="P237" i="3" s="1"/>
  <c r="P295" i="3"/>
  <c r="P231" i="3" s="1"/>
  <c r="P288" i="3"/>
  <c r="P275" i="3"/>
  <c r="P211" i="3" s="1"/>
  <c r="P280" i="3"/>
  <c r="P274" i="3"/>
  <c r="P210" i="3" s="1"/>
  <c r="P267" i="3"/>
  <c r="P272" i="3"/>
  <c r="O303" i="3"/>
  <c r="O313" i="3"/>
  <c r="O311" i="3"/>
  <c r="O298" i="3"/>
  <c r="O234" i="3" s="1"/>
  <c r="O314" i="3"/>
  <c r="O291" i="3"/>
  <c r="O227" i="3" s="1"/>
  <c r="O288" i="3"/>
  <c r="O290" i="3"/>
  <c r="O226" i="3" s="1"/>
  <c r="O276" i="3"/>
  <c r="O212" i="3" s="1"/>
  <c r="O271" i="3"/>
  <c r="I309" i="3"/>
  <c r="I300" i="3"/>
  <c r="I236" i="3" s="1"/>
  <c r="I312" i="3"/>
  <c r="I302" i="3"/>
  <c r="I294" i="3"/>
  <c r="I230" i="3" s="1"/>
  <c r="I292" i="3"/>
  <c r="I228" i="3" s="1"/>
  <c r="I290" i="3"/>
  <c r="I226" i="3" s="1"/>
  <c r="I286" i="3"/>
  <c r="I275" i="3"/>
  <c r="I211" i="3" s="1"/>
  <c r="I279" i="3"/>
  <c r="I215" i="3" s="1"/>
  <c r="I268" i="3"/>
  <c r="I273" i="3"/>
  <c r="I209" i="3" s="1"/>
  <c r="M295" i="3"/>
  <c r="M231" i="3" s="1"/>
  <c r="M312" i="3"/>
  <c r="M297" i="3"/>
  <c r="M233" i="3" s="1"/>
  <c r="M314" i="3"/>
  <c r="M300" i="3"/>
  <c r="M236" i="3" s="1"/>
  <c r="M294" i="3"/>
  <c r="M230" i="3" s="1"/>
  <c r="M290" i="3"/>
  <c r="M226" i="3" s="1"/>
  <c r="M289" i="3"/>
  <c r="M282" i="3"/>
  <c r="M272" i="3"/>
  <c r="M268" i="3"/>
  <c r="K297" i="3"/>
  <c r="K233" i="3" s="1"/>
  <c r="K300" i="3"/>
  <c r="K236" i="3" s="1"/>
  <c r="K298" i="3"/>
  <c r="K234" i="3" s="1"/>
  <c r="K294" i="3"/>
  <c r="K230" i="3" s="1"/>
  <c r="K305" i="3"/>
  <c r="K306" i="3"/>
  <c r="K285" i="3"/>
  <c r="K281" i="3"/>
  <c r="K270" i="3"/>
  <c r="K273" i="3"/>
  <c r="K209" i="3" s="1"/>
  <c r="F280" i="3"/>
  <c r="E280" i="3"/>
  <c r="F291" i="3"/>
  <c r="F227" i="3" s="1"/>
  <c r="E291" i="3"/>
  <c r="E227" i="3" s="1"/>
  <c r="E313" i="3"/>
  <c r="F313" i="3"/>
  <c r="F311" i="3"/>
  <c r="E311" i="3"/>
  <c r="E286" i="3"/>
  <c r="F286" i="3"/>
  <c r="E298" i="3"/>
  <c r="E234" i="3" s="1"/>
  <c r="F298" i="3"/>
  <c r="F234" i="3" s="1"/>
  <c r="E276" i="3"/>
  <c r="E212" i="3" s="1"/>
  <c r="F276" i="3"/>
  <c r="F212" i="3" s="1"/>
  <c r="E301" i="3"/>
  <c r="E237" i="3" s="1"/>
  <c r="F301" i="3"/>
  <c r="F237" i="3" s="1"/>
  <c r="E294" i="3"/>
  <c r="E230" i="3" s="1"/>
  <c r="F294" i="3"/>
  <c r="F230" i="3" s="1"/>
  <c r="E275" i="3"/>
  <c r="E211" i="3" s="1"/>
  <c r="F275" i="3"/>
  <c r="F211" i="3" s="1"/>
  <c r="E273" i="3"/>
  <c r="E209" i="3" s="1"/>
  <c r="F273" i="3"/>
  <c r="F209" i="3" s="1"/>
  <c r="E272" i="3"/>
  <c r="F272" i="3"/>
  <c r="O287" i="3"/>
  <c r="P287" i="3"/>
  <c r="G277" i="3"/>
  <c r="G213" i="3" s="1"/>
  <c r="H277" i="3"/>
  <c r="H213" i="3" s="1"/>
  <c r="N268" i="3"/>
  <c r="O268" i="3"/>
  <c r="J280" i="3"/>
  <c r="K280" i="3"/>
  <c r="P309" i="3"/>
  <c r="P314" i="3"/>
  <c r="P305" i="3"/>
  <c r="P306" i="3"/>
  <c r="P297" i="3"/>
  <c r="P233" i="3" s="1"/>
  <c r="P277" i="3"/>
  <c r="P213" i="3" s="1"/>
  <c r="P290" i="3"/>
  <c r="P226" i="3" s="1"/>
  <c r="P294" i="3"/>
  <c r="P230" i="3" s="1"/>
  <c r="P276" i="3"/>
  <c r="P212" i="3" s="1"/>
  <c r="P271" i="3"/>
  <c r="P268" i="3"/>
  <c r="O299" i="3"/>
  <c r="O235" i="3" s="1"/>
  <c r="O315" i="3"/>
  <c r="O307" i="3"/>
  <c r="O296" i="3"/>
  <c r="O232" i="3" s="1"/>
  <c r="O304" i="3"/>
  <c r="O289" i="3"/>
  <c r="O279" i="3"/>
  <c r="O215" i="3" s="1"/>
  <c r="O293" i="3"/>
  <c r="O229" i="3" s="1"/>
  <c r="O274" i="3"/>
  <c r="O210" i="3" s="1"/>
  <c r="O270" i="3"/>
  <c r="I301" i="3"/>
  <c r="I237" i="3" s="1"/>
  <c r="I293" i="3"/>
  <c r="I229" i="3" s="1"/>
  <c r="I298" i="3"/>
  <c r="I234" i="3" s="1"/>
  <c r="I311" i="3"/>
  <c r="I304" i="3"/>
  <c r="I306" i="3"/>
  <c r="I288" i="3"/>
  <c r="I281" i="3"/>
  <c r="I289" i="3"/>
  <c r="I276" i="3"/>
  <c r="I212" i="3" s="1"/>
  <c r="M311" i="3"/>
  <c r="M310" i="3"/>
  <c r="M309" i="3"/>
  <c r="M305" i="3"/>
  <c r="M301" i="3"/>
  <c r="M237" i="3" s="1"/>
  <c r="M308" i="3"/>
  <c r="M292" i="3"/>
  <c r="M228" i="3" s="1"/>
  <c r="M281" i="3"/>
  <c r="M285" i="3"/>
  <c r="M279" i="3"/>
  <c r="M215" i="3" s="1"/>
  <c r="M273" i="3"/>
  <c r="M209" i="3" s="1"/>
  <c r="M265" i="3"/>
  <c r="K299" i="3"/>
  <c r="K235" i="3" s="1"/>
  <c r="K303" i="3"/>
  <c r="K301" i="3"/>
  <c r="K237" i="3" s="1"/>
  <c r="K304" i="3"/>
  <c r="K293" i="3"/>
  <c r="K229" i="3" s="1"/>
  <c r="K292" i="3"/>
  <c r="K228" i="3" s="1"/>
  <c r="K289" i="3"/>
  <c r="K288" i="3"/>
  <c r="K274" i="3"/>
  <c r="K210" i="3" s="1"/>
  <c r="K272" i="3"/>
  <c r="K269" i="3"/>
  <c r="E312" i="3"/>
  <c r="F312" i="3"/>
  <c r="F308" i="3"/>
  <c r="E308" i="3"/>
  <c r="F277" i="3"/>
  <c r="F213" i="3" s="1"/>
  <c r="E277" i="3"/>
  <c r="E213" i="3" s="1"/>
  <c r="E314" i="3"/>
  <c r="F314" i="3"/>
  <c r="F282" i="3"/>
  <c r="E282" i="3"/>
  <c r="E293" i="3"/>
  <c r="E229" i="3" s="1"/>
  <c r="F293" i="3"/>
  <c r="F229" i="3" s="1"/>
  <c r="F310" i="3"/>
  <c r="E310" i="3"/>
  <c r="E300" i="3"/>
  <c r="E236" i="3" s="1"/>
  <c r="F300" i="3"/>
  <c r="F236" i="3" s="1"/>
  <c r="E288" i="3"/>
  <c r="F288" i="3"/>
  <c r="E278" i="3"/>
  <c r="E214" i="3" s="1"/>
  <c r="F278" i="3"/>
  <c r="F214" i="3" s="1"/>
  <c r="F268" i="3"/>
  <c r="E268" i="3"/>
  <c r="F266" i="3"/>
  <c r="E266" i="3"/>
  <c r="P278" i="3"/>
  <c r="P214" i="3" s="1"/>
  <c r="Q278" i="3"/>
  <c r="Q214" i="3" s="1"/>
  <c r="P266" i="3"/>
  <c r="Q266" i="3"/>
  <c r="K287" i="3"/>
  <c r="L287" i="3"/>
  <c r="K277" i="3"/>
  <c r="K213" i="3" s="1"/>
  <c r="L277" i="3"/>
  <c r="L213" i="3" s="1"/>
  <c r="H270" i="3"/>
  <c r="I270" i="3"/>
  <c r="L274" i="3"/>
  <c r="L210" i="3" s="1"/>
  <c r="M274" i="3"/>
  <c r="M210" i="3" s="1"/>
  <c r="J268" i="3"/>
  <c r="K268" i="3"/>
  <c r="P312" i="3"/>
  <c r="P311" i="3"/>
  <c r="P307" i="3"/>
  <c r="P313" i="3"/>
  <c r="P298" i="3"/>
  <c r="P234" i="3" s="1"/>
  <c r="P296" i="3"/>
  <c r="P232" i="3" s="1"/>
  <c r="P286" i="3"/>
  <c r="P292" i="3"/>
  <c r="P228" i="3" s="1"/>
  <c r="P282" i="3"/>
  <c r="P291" i="3"/>
  <c r="P227" i="3" s="1"/>
  <c r="P270" i="3"/>
  <c r="O310" i="3"/>
  <c r="O309" i="3"/>
  <c r="O297" i="3"/>
  <c r="O233" i="3" s="1"/>
  <c r="O302" i="3"/>
  <c r="O306" i="3"/>
  <c r="O295" i="3"/>
  <c r="O231" i="3" s="1"/>
  <c r="O294" i="3"/>
  <c r="O230" i="3" s="1"/>
  <c r="O278" i="3"/>
  <c r="O214" i="3" s="1"/>
  <c r="O285" i="3"/>
  <c r="O277" i="3"/>
  <c r="O213" i="3" s="1"/>
  <c r="O273" i="3"/>
  <c r="O209" i="3" s="1"/>
  <c r="O267" i="3"/>
  <c r="I296" i="3"/>
  <c r="I232" i="3" s="1"/>
  <c r="I313" i="3"/>
  <c r="I307" i="3"/>
  <c r="I314" i="3"/>
  <c r="I299" i="3"/>
  <c r="I235" i="3" s="1"/>
  <c r="I308" i="3"/>
  <c r="I303" i="3"/>
  <c r="I282" i="3"/>
  <c r="I278" i="3"/>
  <c r="I214" i="3" s="1"/>
  <c r="I287" i="3"/>
  <c r="I266" i="3"/>
  <c r="I265" i="3"/>
  <c r="M302" i="3"/>
  <c r="M296" i="3"/>
  <c r="M232" i="3" s="1"/>
  <c r="M307" i="3"/>
  <c r="M303" i="3"/>
  <c r="M298" i="3"/>
  <c r="M234" i="3" s="1"/>
  <c r="M286" i="3"/>
  <c r="M280" i="3"/>
  <c r="M293" i="3"/>
  <c r="M229" i="3" s="1"/>
  <c r="M270" i="3"/>
  <c r="M267" i="3"/>
  <c r="K302" i="3"/>
  <c r="K315" i="3"/>
  <c r="K295" i="3"/>
  <c r="K231" i="3" s="1"/>
  <c r="K312" i="3"/>
  <c r="K296" i="3"/>
  <c r="K232" i="3" s="1"/>
  <c r="K307" i="3"/>
  <c r="K291" i="3"/>
  <c r="K227" i="3" s="1"/>
  <c r="K279" i="3"/>
  <c r="K215" i="3" s="1"/>
  <c r="K278" i="3"/>
  <c r="K214" i="3" s="1"/>
  <c r="K267" i="3"/>
  <c r="F292" i="3"/>
  <c r="F228" i="3" s="1"/>
  <c r="E292" i="3"/>
  <c r="E228" i="3" s="1"/>
  <c r="F287" i="3"/>
  <c r="E287" i="3"/>
  <c r="E296" i="3"/>
  <c r="E232" i="3" s="1"/>
  <c r="F296" i="3"/>
  <c r="F232" i="3" s="1"/>
  <c r="E279" i="3"/>
  <c r="E215" i="3" s="1"/>
  <c r="F279" i="3"/>
  <c r="F215" i="3" s="1"/>
  <c r="E285" i="3"/>
  <c r="F285" i="3"/>
  <c r="F303" i="3"/>
  <c r="E303" i="3"/>
  <c r="F307" i="3"/>
  <c r="E307" i="3"/>
  <c r="F281" i="3"/>
  <c r="E281" i="3"/>
  <c r="E299" i="3"/>
  <c r="E235" i="3" s="1"/>
  <c r="F299" i="3"/>
  <c r="F235" i="3" s="1"/>
  <c r="E309" i="3"/>
  <c r="F309" i="3"/>
  <c r="E270" i="3"/>
  <c r="F270" i="3"/>
  <c r="E269" i="3"/>
  <c r="F269" i="3"/>
  <c r="E265" i="3"/>
  <c r="F265" i="3"/>
  <c r="I267" i="3"/>
  <c r="J267" i="3"/>
  <c r="O281" i="3"/>
  <c r="P281" i="3"/>
  <c r="O269" i="3"/>
  <c r="P269" i="3"/>
  <c r="O265" i="3"/>
  <c r="P265" i="3"/>
  <c r="N272" i="3"/>
  <c r="O272" i="3"/>
  <c r="K265" i="3"/>
  <c r="L265" i="3"/>
  <c r="H274" i="3"/>
  <c r="H210" i="3" s="1"/>
  <c r="I274" i="3"/>
  <c r="I210" i="3" s="1"/>
  <c r="P310" i="3"/>
  <c r="P303" i="3"/>
  <c r="P299" i="3"/>
  <c r="P235" i="3" s="1"/>
  <c r="P315" i="3"/>
  <c r="P302" i="3"/>
  <c r="P285" i="3"/>
  <c r="P289" i="3"/>
  <c r="P279" i="3"/>
  <c r="P215" i="3" s="1"/>
  <c r="P293" i="3"/>
  <c r="P229" i="3" s="1"/>
  <c r="P273" i="3"/>
  <c r="P209" i="3" s="1"/>
  <c r="O300" i="3"/>
  <c r="O236" i="3" s="1"/>
  <c r="O301" i="3"/>
  <c r="O237" i="3" s="1"/>
  <c r="O308" i="3"/>
  <c r="O305" i="3"/>
  <c r="O312" i="3"/>
  <c r="O282" i="3"/>
  <c r="O280" i="3"/>
  <c r="O292" i="3"/>
  <c r="O228" i="3" s="1"/>
  <c r="O275" i="3"/>
  <c r="O211" i="3" s="1"/>
  <c r="O266" i="3"/>
  <c r="I291" i="3"/>
  <c r="I227" i="3" s="1"/>
  <c r="I310" i="3"/>
  <c r="I297" i="3"/>
  <c r="I233" i="3" s="1"/>
  <c r="I295" i="3"/>
  <c r="I231" i="3" s="1"/>
  <c r="I315" i="3"/>
  <c r="I305" i="3"/>
  <c r="I280" i="3"/>
  <c r="I285" i="3"/>
  <c r="I277" i="3"/>
  <c r="I213" i="3" s="1"/>
  <c r="I272" i="3"/>
  <c r="I269" i="3"/>
  <c r="M313" i="3"/>
  <c r="M304" i="3"/>
  <c r="M306" i="3"/>
  <c r="M299" i="3"/>
  <c r="M235" i="3" s="1"/>
  <c r="M315" i="3"/>
  <c r="M291" i="3"/>
  <c r="M227" i="3" s="1"/>
  <c r="M287" i="3"/>
  <c r="M288" i="3"/>
  <c r="M277" i="3"/>
  <c r="M213" i="3" s="1"/>
  <c r="M276" i="3"/>
  <c r="M212" i="3" s="1"/>
  <c r="M269" i="3"/>
  <c r="M266" i="3"/>
  <c r="K313" i="3"/>
  <c r="K314" i="3"/>
  <c r="K308" i="3"/>
  <c r="K311" i="3"/>
  <c r="K310" i="3"/>
  <c r="K309" i="3"/>
  <c r="K282" i="3"/>
  <c r="K275" i="3"/>
  <c r="K211" i="3" s="1"/>
  <c r="K276" i="3"/>
  <c r="K212" i="3" s="1"/>
  <c r="K290" i="3"/>
  <c r="K226" i="3" s="1"/>
  <c r="K266" i="3"/>
  <c r="K271" i="3"/>
  <c r="I547" i="3"/>
  <c r="I548" i="3" s="1"/>
  <c r="I542" i="3"/>
  <c r="Q547" i="3"/>
  <c r="Q548" i="3" s="1"/>
  <c r="Q542" i="3"/>
  <c r="G547" i="3"/>
  <c r="G548" i="3" s="1"/>
  <c r="G542" i="3"/>
  <c r="K547" i="3"/>
  <c r="K548" i="3" s="1"/>
  <c r="K542" i="3"/>
  <c r="L547" i="3"/>
  <c r="L548" i="3" s="1"/>
  <c r="L542" i="3"/>
  <c r="F547" i="3"/>
  <c r="F548" i="3" s="1"/>
  <c r="F542" i="3"/>
  <c r="M547" i="3"/>
  <c r="M548" i="3" s="1"/>
  <c r="M542" i="3"/>
  <c r="P547" i="3"/>
  <c r="P548" i="3" s="1"/>
  <c r="P542" i="3"/>
  <c r="O547" i="3"/>
  <c r="O548" i="3" s="1"/>
  <c r="O542" i="3"/>
  <c r="N547" i="3"/>
  <c r="N548" i="3" s="1"/>
  <c r="N542" i="3"/>
  <c r="H547" i="3"/>
  <c r="H548" i="3" s="1"/>
  <c r="H542" i="3"/>
  <c r="J547" i="3"/>
  <c r="J548" i="3" s="1"/>
  <c r="J542" i="3"/>
  <c r="O382" i="3"/>
  <c r="N382" i="3"/>
  <c r="J382" i="3"/>
  <c r="E382" i="3"/>
  <c r="P382" i="3"/>
  <c r="G382" i="3"/>
  <c r="L382" i="3"/>
  <c r="I382" i="3"/>
  <c r="M382" i="3"/>
  <c r="F382" i="3"/>
  <c r="K382" i="3"/>
  <c r="H382" i="3"/>
  <c r="E548" i="3"/>
  <c r="S448" i="3"/>
  <c r="N109" i="7" l="1"/>
  <c r="N110" i="7"/>
  <c r="N111" i="7"/>
  <c r="N104" i="7"/>
  <c r="N107" i="7" s="1"/>
  <c r="N105" i="7"/>
  <c r="N106" i="7"/>
  <c r="H109" i="7"/>
  <c r="H112" i="7" s="1"/>
  <c r="H111" i="7"/>
  <c r="H110" i="7"/>
  <c r="H105" i="7"/>
  <c r="H106" i="7"/>
  <c r="H104" i="7"/>
  <c r="O109" i="7"/>
  <c r="O110" i="7"/>
  <c r="O111" i="7"/>
  <c r="O104" i="7"/>
  <c r="O107" i="7" s="1"/>
  <c r="O106" i="7"/>
  <c r="O105" i="7"/>
  <c r="M110" i="7"/>
  <c r="M111" i="7"/>
  <c r="M109" i="7"/>
  <c r="M104" i="7"/>
  <c r="M106" i="7"/>
  <c r="M105" i="7"/>
  <c r="L111" i="7"/>
  <c r="L110" i="7"/>
  <c r="L109" i="7"/>
  <c r="L112" i="7" s="1"/>
  <c r="L106" i="7"/>
  <c r="L105" i="7"/>
  <c r="L104" i="7"/>
  <c r="G109" i="7"/>
  <c r="G112" i="7" s="1"/>
  <c r="G110" i="7"/>
  <c r="G111" i="7"/>
  <c r="G105" i="7"/>
  <c r="G104" i="7"/>
  <c r="G107" i="7" s="1"/>
  <c r="G117" i="7" s="1"/>
  <c r="G106" i="7"/>
  <c r="I111" i="7"/>
  <c r="I109" i="7"/>
  <c r="I110" i="7"/>
  <c r="I105" i="7"/>
  <c r="I106" i="7"/>
  <c r="I104" i="7"/>
  <c r="E109" i="7"/>
  <c r="E110" i="7"/>
  <c r="E111" i="7"/>
  <c r="E104" i="7"/>
  <c r="E105" i="7"/>
  <c r="E106" i="7"/>
  <c r="P110" i="7"/>
  <c r="P109" i="7"/>
  <c r="P111" i="7"/>
  <c r="P106" i="7"/>
  <c r="P104" i="7"/>
  <c r="P105" i="7"/>
  <c r="Q110" i="7"/>
  <c r="Q109" i="7"/>
  <c r="Q111" i="7"/>
  <c r="Q106" i="7"/>
  <c r="Q104" i="7"/>
  <c r="Q107" i="7" s="1"/>
  <c r="Q105" i="7"/>
  <c r="F111" i="7"/>
  <c r="F109" i="7"/>
  <c r="F110" i="7"/>
  <c r="F106" i="7"/>
  <c r="F104" i="7"/>
  <c r="F105" i="7"/>
  <c r="J109" i="7"/>
  <c r="J112" i="7" s="1"/>
  <c r="J110" i="7"/>
  <c r="J111" i="7"/>
  <c r="J104" i="7"/>
  <c r="J105" i="7"/>
  <c r="J106" i="7"/>
  <c r="K109" i="7"/>
  <c r="K110" i="7"/>
  <c r="K111" i="7"/>
  <c r="K105" i="7"/>
  <c r="K106" i="7"/>
  <c r="K104" i="7"/>
  <c r="J85" i="7"/>
  <c r="J716" i="3"/>
  <c r="J720" i="3" s="1"/>
  <c r="J129" i="7" s="1"/>
  <c r="J719" i="3"/>
  <c r="S115" i="7"/>
  <c r="S625" i="3"/>
  <c r="E627" i="3"/>
  <c r="J317" i="3"/>
  <c r="J532" i="3" s="1"/>
  <c r="G317" i="3"/>
  <c r="G318" i="3" s="1"/>
  <c r="G533" i="3" s="1"/>
  <c r="Q253" i="3"/>
  <c r="Q530" i="3" s="1"/>
  <c r="N253" i="3"/>
  <c r="N530" i="3" s="1"/>
  <c r="S215" i="3"/>
  <c r="S233" i="3"/>
  <c r="P169" i="3" s="1"/>
  <c r="S237" i="3"/>
  <c r="S232" i="3"/>
  <c r="M168" i="3" s="1"/>
  <c r="S228" i="3"/>
  <c r="L253" i="3"/>
  <c r="L530" i="3" s="1"/>
  <c r="S236" i="3"/>
  <c r="S229" i="3"/>
  <c r="F165" i="3" s="1"/>
  <c r="S213" i="3"/>
  <c r="S227" i="3"/>
  <c r="M163" i="3" s="1"/>
  <c r="K253" i="3"/>
  <c r="K530" i="3" s="1"/>
  <c r="H253" i="3"/>
  <c r="H530" i="3" s="1"/>
  <c r="S235" i="3"/>
  <c r="S214" i="3"/>
  <c r="E150" i="3" s="1"/>
  <c r="S230" i="3"/>
  <c r="M166" i="3" s="1"/>
  <c r="S226" i="3"/>
  <c r="O98" i="3" s="1"/>
  <c r="S231" i="3"/>
  <c r="P253" i="3"/>
  <c r="P530" i="3" s="1"/>
  <c r="M253" i="3"/>
  <c r="M530" i="3" s="1"/>
  <c r="F253" i="3"/>
  <c r="F530" i="3" s="1"/>
  <c r="S210" i="3"/>
  <c r="E253" i="3"/>
  <c r="E530" i="3" s="1"/>
  <c r="S209" i="3"/>
  <c r="P17" i="3" s="1"/>
  <c r="P61" i="3" s="1"/>
  <c r="P526" i="3" s="1"/>
  <c r="P82" i="7" s="1"/>
  <c r="S212" i="3"/>
  <c r="I148" i="3" s="1"/>
  <c r="O253" i="3"/>
  <c r="O530" i="3" s="1"/>
  <c r="S211" i="3"/>
  <c r="F147" i="3" s="1"/>
  <c r="S234" i="3"/>
  <c r="F170" i="3" s="1"/>
  <c r="I253" i="3"/>
  <c r="I530" i="3" s="1"/>
  <c r="G253" i="3"/>
  <c r="G530" i="3" s="1"/>
  <c r="H317" i="3"/>
  <c r="S281" i="3"/>
  <c r="S303" i="3"/>
  <c r="S287" i="3"/>
  <c r="S547" i="3"/>
  <c r="S265" i="3"/>
  <c r="E317" i="3"/>
  <c r="S270" i="3"/>
  <c r="S299" i="3"/>
  <c r="S285" i="3"/>
  <c r="S296" i="3"/>
  <c r="S278" i="3"/>
  <c r="S300" i="3"/>
  <c r="S293" i="3"/>
  <c r="S314" i="3"/>
  <c r="S272" i="3"/>
  <c r="S275" i="3"/>
  <c r="S298" i="3"/>
  <c r="S302" i="3"/>
  <c r="S297" i="3"/>
  <c r="S306" i="3"/>
  <c r="P317" i="3"/>
  <c r="S307" i="3"/>
  <c r="S292" i="3"/>
  <c r="M317" i="3"/>
  <c r="L317" i="3"/>
  <c r="S266" i="3"/>
  <c r="S308" i="3"/>
  <c r="S301" i="3"/>
  <c r="S311" i="3"/>
  <c r="S291" i="3"/>
  <c r="S267" i="3"/>
  <c r="S304" i="3"/>
  <c r="S315" i="3"/>
  <c r="S542" i="3"/>
  <c r="S269" i="3"/>
  <c r="S309" i="3"/>
  <c r="S279" i="3"/>
  <c r="S288" i="3"/>
  <c r="F317" i="3"/>
  <c r="S312" i="3"/>
  <c r="S273" i="3"/>
  <c r="S294" i="3"/>
  <c r="S276" i="3"/>
  <c r="S313" i="3"/>
  <c r="S271" i="3"/>
  <c r="S290" i="3"/>
  <c r="S305" i="3"/>
  <c r="S289" i="3"/>
  <c r="I317" i="3"/>
  <c r="Q317" i="3"/>
  <c r="S268" i="3"/>
  <c r="S310" i="3"/>
  <c r="S282" i="3"/>
  <c r="S277" i="3"/>
  <c r="O317" i="3"/>
  <c r="S286" i="3"/>
  <c r="S280" i="3"/>
  <c r="K317" i="3"/>
  <c r="N317" i="3"/>
  <c r="S274" i="3"/>
  <c r="S295" i="3"/>
  <c r="F383" i="3"/>
  <c r="F538" i="3" s="1"/>
  <c r="F537" i="3"/>
  <c r="F536" i="3" s="1"/>
  <c r="I383" i="3"/>
  <c r="I538" i="3" s="1"/>
  <c r="I537" i="3"/>
  <c r="I536" i="3" s="1"/>
  <c r="E383" i="3"/>
  <c r="E538" i="3" s="1"/>
  <c r="E537" i="3"/>
  <c r="E536" i="3" s="1"/>
  <c r="O383" i="3"/>
  <c r="O538" i="3" s="1"/>
  <c r="O537" i="3"/>
  <c r="O536" i="3" s="1"/>
  <c r="K383" i="3"/>
  <c r="K538" i="3" s="1"/>
  <c r="K537" i="3"/>
  <c r="K536" i="3" s="1"/>
  <c r="P383" i="3"/>
  <c r="P538" i="3" s="1"/>
  <c r="P537" i="3"/>
  <c r="P536" i="3" s="1"/>
  <c r="N383" i="3"/>
  <c r="N538" i="3" s="1"/>
  <c r="N537" i="3"/>
  <c r="N536" i="3" s="1"/>
  <c r="S548" i="3"/>
  <c r="H383" i="3"/>
  <c r="H538" i="3" s="1"/>
  <c r="H537" i="3"/>
  <c r="H536" i="3" s="1"/>
  <c r="G383" i="3"/>
  <c r="G538" i="3" s="1"/>
  <c r="G537" i="3"/>
  <c r="G536" i="3" s="1"/>
  <c r="J383" i="3"/>
  <c r="J538" i="3" s="1"/>
  <c r="J537" i="3"/>
  <c r="J536" i="3" s="1"/>
  <c r="M383" i="3"/>
  <c r="M538" i="3" s="1"/>
  <c r="M537" i="3"/>
  <c r="M536" i="3" s="1"/>
  <c r="L383" i="3"/>
  <c r="L538" i="3" s="1"/>
  <c r="L537" i="3"/>
  <c r="L536" i="3" s="1"/>
  <c r="Q112" i="7" l="1"/>
  <c r="S106" i="7"/>
  <c r="S110" i="7"/>
  <c r="H107" i="7"/>
  <c r="H117" i="7" s="1"/>
  <c r="Q117" i="7"/>
  <c r="S105" i="7"/>
  <c r="E112" i="7"/>
  <c r="S109" i="7"/>
  <c r="K107" i="7"/>
  <c r="K117" i="7" s="1"/>
  <c r="J107" i="7"/>
  <c r="J117" i="7" s="1"/>
  <c r="F112" i="7"/>
  <c r="P112" i="7"/>
  <c r="E107" i="7"/>
  <c r="S104" i="7"/>
  <c r="I107" i="7"/>
  <c r="I112" i="7"/>
  <c r="L107" i="7"/>
  <c r="L117" i="7" s="1"/>
  <c r="M107" i="7"/>
  <c r="M117" i="7" s="1"/>
  <c r="K112" i="7"/>
  <c r="F107" i="7"/>
  <c r="F117" i="7" s="1"/>
  <c r="P107" i="7"/>
  <c r="P117" i="7" s="1"/>
  <c r="S111" i="7"/>
  <c r="M112" i="7"/>
  <c r="O112" i="7"/>
  <c r="O117" i="7" s="1"/>
  <c r="N112" i="7"/>
  <c r="N117" i="7" s="1"/>
  <c r="J124" i="7"/>
  <c r="J128" i="7"/>
  <c r="J717" i="3"/>
  <c r="J126" i="7"/>
  <c r="E85" i="7"/>
  <c r="E716" i="3"/>
  <c r="E719" i="3"/>
  <c r="P85" i="7"/>
  <c r="P716" i="3"/>
  <c r="P720" i="3" s="1"/>
  <c r="P129" i="7" s="1"/>
  <c r="P719" i="3"/>
  <c r="L85" i="7"/>
  <c r="L716" i="3"/>
  <c r="L720" i="3" s="1"/>
  <c r="L129" i="7" s="1"/>
  <c r="L719" i="3"/>
  <c r="M85" i="7"/>
  <c r="M716" i="3"/>
  <c r="M720" i="3" s="1"/>
  <c r="M129" i="7" s="1"/>
  <c r="M719" i="3"/>
  <c r="K85" i="7"/>
  <c r="K719" i="3"/>
  <c r="K716" i="3"/>
  <c r="K720" i="3" s="1"/>
  <c r="K129" i="7" s="1"/>
  <c r="Q85" i="7"/>
  <c r="Q716" i="3"/>
  <c r="Q720" i="3" s="1"/>
  <c r="Q129" i="7" s="1"/>
  <c r="Q719" i="3"/>
  <c r="I85" i="7"/>
  <c r="I716" i="3"/>
  <c r="I720" i="3" s="1"/>
  <c r="I129" i="7" s="1"/>
  <c r="I719" i="3"/>
  <c r="F85" i="7"/>
  <c r="F716" i="3"/>
  <c r="F720" i="3" s="1"/>
  <c r="F129" i="7" s="1"/>
  <c r="F719" i="3"/>
  <c r="H85" i="7"/>
  <c r="H716" i="3"/>
  <c r="H720" i="3" s="1"/>
  <c r="H129" i="7" s="1"/>
  <c r="H719" i="3"/>
  <c r="N85" i="7"/>
  <c r="N716" i="3"/>
  <c r="N720" i="3" s="1"/>
  <c r="N129" i="7" s="1"/>
  <c r="N719" i="3"/>
  <c r="G85" i="7"/>
  <c r="G719" i="3"/>
  <c r="G716" i="3"/>
  <c r="G720" i="3" s="1"/>
  <c r="G129" i="7" s="1"/>
  <c r="O85" i="7"/>
  <c r="O719" i="3"/>
  <c r="O716" i="3"/>
  <c r="O720" i="3" s="1"/>
  <c r="O129" i="7" s="1"/>
  <c r="G532" i="3"/>
  <c r="J318" i="3"/>
  <c r="J533" i="3" s="1"/>
  <c r="S627" i="3"/>
  <c r="E631" i="3"/>
  <c r="S631" i="3" s="1"/>
  <c r="E17" i="3"/>
  <c r="E61" i="3" s="1"/>
  <c r="I17" i="3"/>
  <c r="I61" i="3" s="1"/>
  <c r="I526" i="3" s="1"/>
  <c r="I82" i="7" s="1"/>
  <c r="N17" i="3"/>
  <c r="N61" i="3" s="1"/>
  <c r="N526" i="3" s="1"/>
  <c r="N82" i="7" s="1"/>
  <c r="L17" i="3"/>
  <c r="L61" i="3" s="1"/>
  <c r="L526" i="3" s="1"/>
  <c r="L82" i="7" s="1"/>
  <c r="Q17" i="3"/>
  <c r="Q61" i="3" s="1"/>
  <c r="Q526" i="3" s="1"/>
  <c r="Q82" i="7" s="1"/>
  <c r="J17" i="3"/>
  <c r="J61" i="3" s="1"/>
  <c r="J526" i="3" s="1"/>
  <c r="J82" i="7" s="1"/>
  <c r="G17" i="3"/>
  <c r="G61" i="3" s="1"/>
  <c r="G526" i="3" s="1"/>
  <c r="G82" i="7" s="1"/>
  <c r="M17" i="3"/>
  <c r="M61" i="3" s="1"/>
  <c r="M526" i="3" s="1"/>
  <c r="M82" i="7" s="1"/>
  <c r="K17" i="3"/>
  <c r="K61" i="3" s="1"/>
  <c r="K526" i="3" s="1"/>
  <c r="K82" i="7" s="1"/>
  <c r="F17" i="3"/>
  <c r="F61" i="3" s="1"/>
  <c r="F526" i="3" s="1"/>
  <c r="F82" i="7" s="1"/>
  <c r="H17" i="3"/>
  <c r="O17" i="3"/>
  <c r="O61" i="3" s="1"/>
  <c r="O526" i="3" s="1"/>
  <c r="O82" i="7" s="1"/>
  <c r="E145" i="3"/>
  <c r="L81" i="3"/>
  <c r="J81" i="3"/>
  <c r="Q81" i="3"/>
  <c r="N81" i="3"/>
  <c r="O81" i="3"/>
  <c r="O125" i="3" s="1"/>
  <c r="O527" i="3" s="1"/>
  <c r="O83" i="7" s="1"/>
  <c r="F81" i="3"/>
  <c r="K81" i="3"/>
  <c r="K162" i="3"/>
  <c r="N98" i="3"/>
  <c r="Q98" i="3"/>
  <c r="L98" i="3"/>
  <c r="H98" i="3"/>
  <c r="G98" i="3"/>
  <c r="J98" i="3"/>
  <c r="P98" i="3"/>
  <c r="M98" i="3"/>
  <c r="E98" i="3"/>
  <c r="H81" i="3"/>
  <c r="I81" i="3"/>
  <c r="I98" i="3"/>
  <c r="P81" i="3"/>
  <c r="K98" i="3"/>
  <c r="G81" i="3"/>
  <c r="F98" i="3"/>
  <c r="M81" i="3"/>
  <c r="E81" i="3"/>
  <c r="J146" i="3"/>
  <c r="Q146" i="3"/>
  <c r="N146" i="3"/>
  <c r="G146" i="3"/>
  <c r="G167" i="3"/>
  <c r="L167" i="3"/>
  <c r="H167" i="3"/>
  <c r="N167" i="3"/>
  <c r="Q167" i="3"/>
  <c r="J167" i="3"/>
  <c r="J171" i="3"/>
  <c r="Q171" i="3"/>
  <c r="H171" i="3"/>
  <c r="G171" i="3"/>
  <c r="L171" i="3"/>
  <c r="N171" i="3"/>
  <c r="N149" i="3"/>
  <c r="J149" i="3"/>
  <c r="Q149" i="3"/>
  <c r="N164" i="3"/>
  <c r="H164" i="3"/>
  <c r="G164" i="3"/>
  <c r="J164" i="3"/>
  <c r="Q164" i="3"/>
  <c r="L164" i="3"/>
  <c r="L150" i="3"/>
  <c r="I145" i="3"/>
  <c r="E147" i="3"/>
  <c r="O165" i="3"/>
  <c r="P150" i="3"/>
  <c r="K168" i="3"/>
  <c r="O147" i="3"/>
  <c r="F167" i="3"/>
  <c r="I162" i="3"/>
  <c r="F148" i="3"/>
  <c r="M164" i="3"/>
  <c r="L149" i="3"/>
  <c r="O167" i="3"/>
  <c r="F168" i="3"/>
  <c r="E167" i="3"/>
  <c r="O170" i="3"/>
  <c r="K170" i="3"/>
  <c r="I168" i="3"/>
  <c r="K167" i="3"/>
  <c r="E171" i="3"/>
  <c r="H145" i="3"/>
  <c r="M167" i="3"/>
  <c r="O146" i="3"/>
  <c r="K146" i="3"/>
  <c r="M165" i="3"/>
  <c r="K148" i="3"/>
  <c r="H147" i="3"/>
  <c r="Q147" i="3"/>
  <c r="J147" i="3"/>
  <c r="L147" i="3"/>
  <c r="G147" i="3"/>
  <c r="N150" i="3"/>
  <c r="J150" i="3"/>
  <c r="G150" i="3"/>
  <c r="H150" i="3"/>
  <c r="H163" i="3"/>
  <c r="J163" i="3"/>
  <c r="Q163" i="3"/>
  <c r="L163" i="3"/>
  <c r="N163" i="3"/>
  <c r="G163" i="3"/>
  <c r="H169" i="3"/>
  <c r="Q169" i="3"/>
  <c r="G169" i="3"/>
  <c r="L169" i="3"/>
  <c r="N169" i="3"/>
  <c r="J169" i="3"/>
  <c r="G145" i="3"/>
  <c r="O163" i="3"/>
  <c r="E170" i="3"/>
  <c r="O168" i="3"/>
  <c r="F149" i="3"/>
  <c r="O145" i="3"/>
  <c r="P171" i="3"/>
  <c r="K147" i="3"/>
  <c r="O148" i="3"/>
  <c r="K166" i="3"/>
  <c r="P149" i="3"/>
  <c r="F150" i="3"/>
  <c r="P163" i="3"/>
  <c r="E164" i="3"/>
  <c r="O164" i="3"/>
  <c r="P147" i="3"/>
  <c r="E165" i="3"/>
  <c r="P170" i="3"/>
  <c r="M170" i="3"/>
  <c r="E168" i="3"/>
  <c r="I149" i="3"/>
  <c r="F169" i="3"/>
  <c r="I147" i="3"/>
  <c r="O171" i="3"/>
  <c r="K165" i="3"/>
  <c r="O150" i="3"/>
  <c r="M149" i="3"/>
  <c r="Q150" i="3"/>
  <c r="G170" i="3"/>
  <c r="Q170" i="3"/>
  <c r="L170" i="3"/>
  <c r="N170" i="3"/>
  <c r="J170" i="3"/>
  <c r="H170" i="3"/>
  <c r="J145" i="3"/>
  <c r="Q145" i="3"/>
  <c r="L145" i="3"/>
  <c r="N145" i="3"/>
  <c r="J166" i="3"/>
  <c r="N166" i="3"/>
  <c r="G166" i="3"/>
  <c r="Q166" i="3"/>
  <c r="L166" i="3"/>
  <c r="H166" i="3"/>
  <c r="M147" i="3"/>
  <c r="P146" i="3"/>
  <c r="F163" i="3"/>
  <c r="P162" i="3"/>
  <c r="O166" i="3"/>
  <c r="H146" i="3"/>
  <c r="M171" i="3"/>
  <c r="E146" i="3"/>
  <c r="M162" i="3"/>
  <c r="F145" i="3"/>
  <c r="P168" i="3"/>
  <c r="P145" i="3"/>
  <c r="F146" i="3"/>
  <c r="I164" i="3"/>
  <c r="E166" i="3"/>
  <c r="K164" i="3"/>
  <c r="L146" i="3"/>
  <c r="I150" i="3"/>
  <c r="F164" i="3"/>
  <c r="I163" i="3"/>
  <c r="I166" i="3"/>
  <c r="E163" i="3"/>
  <c r="P166" i="3"/>
  <c r="K171" i="3"/>
  <c r="P164" i="3"/>
  <c r="I167" i="3"/>
  <c r="N148" i="3"/>
  <c r="J148" i="3"/>
  <c r="H148" i="3"/>
  <c r="Q148" i="3"/>
  <c r="L148" i="3"/>
  <c r="G148" i="3"/>
  <c r="G162" i="3"/>
  <c r="L162" i="3"/>
  <c r="J162" i="3"/>
  <c r="N162" i="3"/>
  <c r="H162" i="3"/>
  <c r="Q162" i="3"/>
  <c r="H165" i="3"/>
  <c r="G165" i="3"/>
  <c r="N165" i="3"/>
  <c r="J165" i="3"/>
  <c r="L165" i="3"/>
  <c r="Q165" i="3"/>
  <c r="G168" i="3"/>
  <c r="N168" i="3"/>
  <c r="L168" i="3"/>
  <c r="H168" i="3"/>
  <c r="Q168" i="3"/>
  <c r="J168" i="3"/>
  <c r="E169" i="3"/>
  <c r="P167" i="3"/>
  <c r="K169" i="3"/>
  <c r="G149" i="3"/>
  <c r="I165" i="3"/>
  <c r="O169" i="3"/>
  <c r="K150" i="3"/>
  <c r="I169" i="3"/>
  <c r="F162" i="3"/>
  <c r="M169" i="3"/>
  <c r="F166" i="3"/>
  <c r="M145" i="3"/>
  <c r="M146" i="3"/>
  <c r="O149" i="3"/>
  <c r="F171" i="3"/>
  <c r="E162" i="3"/>
  <c r="O162" i="3"/>
  <c r="E148" i="3"/>
  <c r="P148" i="3"/>
  <c r="K149" i="3"/>
  <c r="I171" i="3"/>
  <c r="K163" i="3"/>
  <c r="P165" i="3"/>
  <c r="M148" i="3"/>
  <c r="M150" i="3"/>
  <c r="K145" i="3"/>
  <c r="H149" i="3"/>
  <c r="I170" i="3"/>
  <c r="E149" i="3"/>
  <c r="I146" i="3"/>
  <c r="N147" i="3"/>
  <c r="S530" i="3"/>
  <c r="S253" i="3"/>
  <c r="M318" i="3"/>
  <c r="M533" i="3" s="1"/>
  <c r="M532" i="3"/>
  <c r="H318" i="3"/>
  <c r="H533" i="3" s="1"/>
  <c r="H532" i="3"/>
  <c r="K318" i="3"/>
  <c r="K533" i="3" s="1"/>
  <c r="K532" i="3"/>
  <c r="Q318" i="3"/>
  <c r="Q533" i="3" s="1"/>
  <c r="Q532" i="3"/>
  <c r="I318" i="3"/>
  <c r="I533" i="3" s="1"/>
  <c r="I532" i="3"/>
  <c r="L318" i="3"/>
  <c r="L533" i="3" s="1"/>
  <c r="L532" i="3"/>
  <c r="P318" i="3"/>
  <c r="P533" i="3" s="1"/>
  <c r="P532" i="3"/>
  <c r="N318" i="3"/>
  <c r="N533" i="3" s="1"/>
  <c r="N532" i="3"/>
  <c r="O318" i="3"/>
  <c r="O533" i="3" s="1"/>
  <c r="O532" i="3"/>
  <c r="F318" i="3"/>
  <c r="F533" i="3" s="1"/>
  <c r="F532" i="3"/>
  <c r="E532" i="3"/>
  <c r="S317" i="3"/>
  <c r="E318" i="3"/>
  <c r="E117" i="7" l="1"/>
  <c r="S107" i="7"/>
  <c r="I117" i="7"/>
  <c r="S112" i="7"/>
  <c r="I124" i="7"/>
  <c r="I128" i="7"/>
  <c r="L124" i="7"/>
  <c r="L128" i="7"/>
  <c r="N124" i="7"/>
  <c r="N128" i="7"/>
  <c r="Q124" i="7"/>
  <c r="Q128" i="7"/>
  <c r="K124" i="7"/>
  <c r="K128" i="7"/>
  <c r="P124" i="7"/>
  <c r="P128" i="7"/>
  <c r="E126" i="7"/>
  <c r="E720" i="3"/>
  <c r="O124" i="7"/>
  <c r="O128" i="7"/>
  <c r="H124" i="7"/>
  <c r="H128" i="7"/>
  <c r="E124" i="7"/>
  <c r="E128" i="7"/>
  <c r="G124" i="7"/>
  <c r="G128" i="7"/>
  <c r="F124" i="7"/>
  <c r="F128" i="7"/>
  <c r="M124" i="7"/>
  <c r="M128" i="7"/>
  <c r="J127" i="7"/>
  <c r="J718" i="3"/>
  <c r="F717" i="3"/>
  <c r="F126" i="7"/>
  <c r="K717" i="3"/>
  <c r="K126" i="7"/>
  <c r="M717" i="3"/>
  <c r="M126" i="7"/>
  <c r="O717" i="3"/>
  <c r="O126" i="7"/>
  <c r="I717" i="3"/>
  <c r="I126" i="7"/>
  <c r="L717" i="3"/>
  <c r="L126" i="7"/>
  <c r="G717" i="3"/>
  <c r="G126" i="7"/>
  <c r="N717" i="3"/>
  <c r="N126" i="7"/>
  <c r="Q717" i="3"/>
  <c r="Q126" i="7"/>
  <c r="P717" i="3"/>
  <c r="P126" i="7"/>
  <c r="H717" i="3"/>
  <c r="H126" i="7"/>
  <c r="S85" i="7"/>
  <c r="S716" i="3"/>
  <c r="E717" i="3"/>
  <c r="E718" i="3" s="1"/>
  <c r="S719" i="3"/>
  <c r="S162" i="3"/>
  <c r="S163" i="3"/>
  <c r="M125" i="3"/>
  <c r="M527" i="3" s="1"/>
  <c r="M83" i="7" s="1"/>
  <c r="P125" i="3"/>
  <c r="P527" i="3" s="1"/>
  <c r="P83" i="7" s="1"/>
  <c r="L125" i="3"/>
  <c r="L527" i="3" s="1"/>
  <c r="E526" i="3"/>
  <c r="E82" i="7" s="1"/>
  <c r="S98" i="3"/>
  <c r="S17" i="3"/>
  <c r="H61" i="3"/>
  <c r="H526" i="3" s="1"/>
  <c r="H82" i="7" s="1"/>
  <c r="H125" i="3"/>
  <c r="H527" i="3" s="1"/>
  <c r="H83" i="7" s="1"/>
  <c r="I125" i="3"/>
  <c r="I527" i="3" s="1"/>
  <c r="Q125" i="3"/>
  <c r="Q527" i="3" s="1"/>
  <c r="Q83" i="7" s="1"/>
  <c r="F189" i="3"/>
  <c r="F528" i="3" s="1"/>
  <c r="F84" i="7" s="1"/>
  <c r="N125" i="3"/>
  <c r="N527" i="3" s="1"/>
  <c r="N83" i="7" s="1"/>
  <c r="S81" i="3"/>
  <c r="E125" i="3"/>
  <c r="F125" i="3"/>
  <c r="F527" i="3" s="1"/>
  <c r="F83" i="7" s="1"/>
  <c r="J125" i="3"/>
  <c r="J527" i="3" s="1"/>
  <c r="J83" i="7" s="1"/>
  <c r="G125" i="3"/>
  <c r="G527" i="3" s="1"/>
  <c r="K125" i="3"/>
  <c r="K527" i="3" s="1"/>
  <c r="M189" i="3"/>
  <c r="M528" i="3" s="1"/>
  <c r="M84" i="7" s="1"/>
  <c r="S149" i="3"/>
  <c r="S169" i="3"/>
  <c r="S166" i="3"/>
  <c r="J189" i="3"/>
  <c r="J528" i="3" s="1"/>
  <c r="S170" i="3"/>
  <c r="I189" i="3"/>
  <c r="I528" i="3" s="1"/>
  <c r="I84" i="7" s="1"/>
  <c r="S167" i="3"/>
  <c r="S145" i="3"/>
  <c r="K189" i="3"/>
  <c r="K528" i="3" s="1"/>
  <c r="K84" i="7" s="1"/>
  <c r="S148" i="3"/>
  <c r="P189" i="3"/>
  <c r="P528" i="3" s="1"/>
  <c r="P84" i="7" s="1"/>
  <c r="S146" i="3"/>
  <c r="Q189" i="3"/>
  <c r="Q528" i="3" s="1"/>
  <c r="Q84" i="7" s="1"/>
  <c r="S168" i="3"/>
  <c r="S150" i="3"/>
  <c r="S147" i="3"/>
  <c r="E189" i="3"/>
  <c r="E528" i="3" s="1"/>
  <c r="E84" i="7" s="1"/>
  <c r="L189" i="3"/>
  <c r="L528" i="3" s="1"/>
  <c r="L84" i="7" s="1"/>
  <c r="S165" i="3"/>
  <c r="G189" i="3"/>
  <c r="G528" i="3" s="1"/>
  <c r="G84" i="7" s="1"/>
  <c r="S171" i="3"/>
  <c r="N189" i="3"/>
  <c r="N528" i="3" s="1"/>
  <c r="S164" i="3"/>
  <c r="O189" i="3"/>
  <c r="O528" i="3" s="1"/>
  <c r="O84" i="7" s="1"/>
  <c r="H189" i="3"/>
  <c r="H528" i="3" s="1"/>
  <c r="H84" i="7" s="1"/>
  <c r="S532" i="3"/>
  <c r="S318" i="3"/>
  <c r="E533" i="3"/>
  <c r="S124" i="7" l="1"/>
  <c r="E129" i="7"/>
  <c r="S129" i="7" s="1"/>
  <c r="S720" i="3"/>
  <c r="S128" i="7"/>
  <c r="P127" i="7"/>
  <c r="P718" i="3"/>
  <c r="N127" i="7"/>
  <c r="N718" i="3"/>
  <c r="L127" i="7"/>
  <c r="L718" i="3"/>
  <c r="O127" i="7"/>
  <c r="O718" i="3"/>
  <c r="K127" i="7"/>
  <c r="K718" i="3"/>
  <c r="H127" i="7"/>
  <c r="H718" i="3"/>
  <c r="Q127" i="7"/>
  <c r="Q718" i="3"/>
  <c r="G127" i="7"/>
  <c r="G718" i="3"/>
  <c r="I127" i="7"/>
  <c r="I718" i="3"/>
  <c r="M127" i="7"/>
  <c r="M718" i="3"/>
  <c r="F127" i="7"/>
  <c r="F718" i="3"/>
  <c r="S126" i="7"/>
  <c r="S717" i="3"/>
  <c r="E127" i="7"/>
  <c r="Q86" i="7"/>
  <c r="Q90" i="7" s="1"/>
  <c r="J529" i="3"/>
  <c r="J531" i="3" s="1"/>
  <c r="J721" i="3" s="1"/>
  <c r="J84" i="7"/>
  <c r="J86" i="7" s="1"/>
  <c r="H86" i="7"/>
  <c r="Q529" i="3"/>
  <c r="Q531" i="3" s="1"/>
  <c r="Q721" i="3" s="1"/>
  <c r="O529" i="3"/>
  <c r="O531" i="3" s="1"/>
  <c r="O721" i="3" s="1"/>
  <c r="S82" i="7"/>
  <c r="P86" i="7"/>
  <c r="P90" i="7" s="1"/>
  <c r="M529" i="3"/>
  <c r="M531" i="3" s="1"/>
  <c r="M721" i="3" s="1"/>
  <c r="F86" i="7"/>
  <c r="F87" i="7" s="1"/>
  <c r="M86" i="7"/>
  <c r="N529" i="3"/>
  <c r="N531" i="3" s="1"/>
  <c r="N721" i="3" s="1"/>
  <c r="N84" i="7"/>
  <c r="G529" i="3"/>
  <c r="G531" i="3" s="1"/>
  <c r="G721" i="3" s="1"/>
  <c r="G83" i="7"/>
  <c r="I529" i="3"/>
  <c r="I531" i="3" s="1"/>
  <c r="I721" i="3" s="1"/>
  <c r="I83" i="7"/>
  <c r="L529" i="3"/>
  <c r="L531" i="3" s="1"/>
  <c r="L721" i="3" s="1"/>
  <c r="L83" i="7"/>
  <c r="K529" i="3"/>
  <c r="K531" i="3" s="1"/>
  <c r="K721" i="3" s="1"/>
  <c r="K83" i="7"/>
  <c r="F529" i="3"/>
  <c r="F531" i="3" s="1"/>
  <c r="F721" i="3" s="1"/>
  <c r="O86" i="7"/>
  <c r="S526" i="3"/>
  <c r="H529" i="3"/>
  <c r="H531" i="3" s="1"/>
  <c r="H721" i="3" s="1"/>
  <c r="P529" i="3"/>
  <c r="P531" i="3" s="1"/>
  <c r="P721" i="3" s="1"/>
  <c r="S61" i="3"/>
  <c r="S125" i="3"/>
  <c r="E527" i="3"/>
  <c r="S528" i="3"/>
  <c r="S189" i="3"/>
  <c r="S533" i="3"/>
  <c r="S718" i="3" l="1"/>
  <c r="F130" i="7"/>
  <c r="F131" i="7" s="1"/>
  <c r="F133" i="7" s="1"/>
  <c r="F135" i="7"/>
  <c r="F121" i="7"/>
  <c r="G130" i="7"/>
  <c r="G131" i="7" s="1"/>
  <c r="G133" i="7" s="1"/>
  <c r="G135" i="7"/>
  <c r="G121" i="7"/>
  <c r="K130" i="7"/>
  <c r="K131" i="7" s="1"/>
  <c r="K133" i="7" s="1"/>
  <c r="K135" i="7"/>
  <c r="K121" i="7"/>
  <c r="I130" i="7"/>
  <c r="I131" i="7" s="1"/>
  <c r="I133" i="7" s="1"/>
  <c r="I121" i="7"/>
  <c r="I135" i="7"/>
  <c r="N130" i="7"/>
  <c r="N131" i="7" s="1"/>
  <c r="N133" i="7" s="1"/>
  <c r="N135" i="7"/>
  <c r="N121" i="7"/>
  <c r="H130" i="7"/>
  <c r="H131" i="7" s="1"/>
  <c r="H133" i="7" s="1"/>
  <c r="H135" i="7"/>
  <c r="H121" i="7"/>
  <c r="M130" i="7"/>
  <c r="M131" i="7" s="1"/>
  <c r="M133" i="7" s="1"/>
  <c r="M121" i="7"/>
  <c r="M135" i="7"/>
  <c r="Q130" i="7"/>
  <c r="Q131" i="7" s="1"/>
  <c r="Q133" i="7" s="1"/>
  <c r="Q121" i="7"/>
  <c r="Q135" i="7"/>
  <c r="P130" i="7"/>
  <c r="P131" i="7" s="1"/>
  <c r="P133" i="7" s="1"/>
  <c r="P135" i="7"/>
  <c r="P121" i="7"/>
  <c r="L130" i="7"/>
  <c r="L131" i="7" s="1"/>
  <c r="L133" i="7" s="1"/>
  <c r="L135" i="7"/>
  <c r="L121" i="7"/>
  <c r="O130" i="7"/>
  <c r="O131" i="7" s="1"/>
  <c r="O133" i="7" s="1"/>
  <c r="O135" i="7"/>
  <c r="O121" i="7"/>
  <c r="J130" i="7"/>
  <c r="J131" i="7" s="1"/>
  <c r="J133" i="7" s="1"/>
  <c r="J135" i="7"/>
  <c r="J121" i="7"/>
  <c r="S127" i="7"/>
  <c r="J87" i="7"/>
  <c r="M87" i="7"/>
  <c r="Q87" i="7"/>
  <c r="P87" i="7"/>
  <c r="O87" i="7"/>
  <c r="H87" i="7"/>
  <c r="L86" i="7"/>
  <c r="L87" i="7" s="1"/>
  <c r="G86" i="7"/>
  <c r="G87" i="7" s="1"/>
  <c r="M90" i="7"/>
  <c r="O90" i="7"/>
  <c r="K86" i="7"/>
  <c r="F90" i="7"/>
  <c r="I86" i="7"/>
  <c r="N86" i="7"/>
  <c r="S84" i="7"/>
  <c r="H90" i="7"/>
  <c r="S527" i="3"/>
  <c r="E83" i="7"/>
  <c r="J90" i="7"/>
  <c r="E529" i="3"/>
  <c r="H137" i="7" l="1"/>
  <c r="O137" i="7"/>
  <c r="K137" i="7"/>
  <c r="L137" i="7"/>
  <c r="H146" i="7"/>
  <c r="G137" i="7"/>
  <c r="P137" i="7"/>
  <c r="P146" i="7" s="1"/>
  <c r="Q137" i="7"/>
  <c r="Q146" i="7" s="1"/>
  <c r="N137" i="7"/>
  <c r="I137" i="7"/>
  <c r="F137" i="7"/>
  <c r="F146" i="7" s="1"/>
  <c r="J137" i="7"/>
  <c r="J146" i="7" s="1"/>
  <c r="M137" i="7"/>
  <c r="M146" i="7" s="1"/>
  <c r="O146" i="7"/>
  <c r="N87" i="7"/>
  <c r="K87" i="7"/>
  <c r="I87" i="7"/>
  <c r="N90" i="7"/>
  <c r="I90" i="7"/>
  <c r="K90" i="7"/>
  <c r="L90" i="7"/>
  <c r="S83" i="7"/>
  <c r="E86" i="7"/>
  <c r="S529" i="3"/>
  <c r="E531" i="3"/>
  <c r="E721" i="3" s="1"/>
  <c r="G90" i="7"/>
  <c r="O149" i="7" l="1"/>
  <c r="O48" i="4" s="1"/>
  <c r="F149" i="7"/>
  <c r="F215" i="7" s="1"/>
  <c r="F219" i="7" s="1"/>
  <c r="P149" i="7"/>
  <c r="P48" i="4" s="1"/>
  <c r="J149" i="7"/>
  <c r="J215" i="7" s="1"/>
  <c r="J219" i="7" s="1"/>
  <c r="Q149" i="7"/>
  <c r="Q215" i="7" s="1"/>
  <c r="Q219" i="7" s="1"/>
  <c r="Q220" i="7" s="1"/>
  <c r="M149" i="7"/>
  <c r="M48" i="4" s="1"/>
  <c r="H149" i="7"/>
  <c r="H48" i="4" s="1"/>
  <c r="E121" i="7"/>
  <c r="E135" i="7"/>
  <c r="S135" i="7" s="1"/>
  <c r="S531" i="3"/>
  <c r="L146" i="7"/>
  <c r="G146" i="7"/>
  <c r="K146" i="7"/>
  <c r="I146" i="7"/>
  <c r="N146" i="7"/>
  <c r="E87" i="7"/>
  <c r="F48" i="4"/>
  <c r="E90" i="7"/>
  <c r="S90" i="7" s="1"/>
  <c r="S86" i="7"/>
  <c r="M215" i="7" l="1"/>
  <c r="M219" i="7" s="1"/>
  <c r="M52" i="4" s="1"/>
  <c r="M54" i="4" s="1"/>
  <c r="M56" i="4" s="1"/>
  <c r="M58" i="4" s="1"/>
  <c r="S121" i="7"/>
  <c r="J48" i="4"/>
  <c r="H215" i="7"/>
  <c r="H219" i="7" s="1"/>
  <c r="Q48" i="4"/>
  <c r="P215" i="7"/>
  <c r="P219" i="7" s="1"/>
  <c r="P220" i="7" s="1"/>
  <c r="P205" i="4" s="1"/>
  <c r="O215" i="7"/>
  <c r="O219" i="7" s="1"/>
  <c r="O220" i="7" s="1"/>
  <c r="O205" i="4" s="1"/>
  <c r="O209" i="4" s="1"/>
  <c r="I149" i="7"/>
  <c r="I215" i="7" s="1"/>
  <c r="I219" i="7" s="1"/>
  <c r="N149" i="7"/>
  <c r="N215" i="7" s="1"/>
  <c r="N219" i="7" s="1"/>
  <c r="L149" i="7"/>
  <c r="L48" i="4" s="1"/>
  <c r="G149" i="7"/>
  <c r="G215" i="7" s="1"/>
  <c r="G219" i="7" s="1"/>
  <c r="K149" i="7"/>
  <c r="K48" i="4" s="1"/>
  <c r="S721" i="3"/>
  <c r="E130" i="7"/>
  <c r="Q157" i="4"/>
  <c r="Q52" i="4"/>
  <c r="Q54" i="4" s="1"/>
  <c r="Q56" i="4" s="1"/>
  <c r="Q58" i="4" s="1"/>
  <c r="Q63" i="4"/>
  <c r="Q65" i="4" s="1"/>
  <c r="Q67" i="4" s="1"/>
  <c r="Q72" i="4" s="1"/>
  <c r="S87" i="7"/>
  <c r="Q217" i="4"/>
  <c r="Q205" i="4"/>
  <c r="J220" i="7"/>
  <c r="J52" i="4"/>
  <c r="J54" i="4" s="1"/>
  <c r="J56" i="4" s="1"/>
  <c r="J58" i="4" s="1"/>
  <c r="J63" i="4"/>
  <c r="J65" i="4" s="1"/>
  <c r="J67" i="4" s="1"/>
  <c r="J72" i="4" s="1"/>
  <c r="J157" i="4"/>
  <c r="J161" i="4" s="1"/>
  <c r="I48" i="4"/>
  <c r="F52" i="4"/>
  <c r="F54" i="4" s="1"/>
  <c r="F56" i="4" s="1"/>
  <c r="F58" i="4" s="1"/>
  <c r="F63" i="4"/>
  <c r="F65" i="4" s="1"/>
  <c r="F67" i="4" s="1"/>
  <c r="F72" i="4" s="1"/>
  <c r="F157" i="4"/>
  <c r="F161" i="4" s="1"/>
  <c r="F220" i="7"/>
  <c r="H220" i="7"/>
  <c r="H157" i="4"/>
  <c r="H161" i="4" s="1"/>
  <c r="H52" i="4"/>
  <c r="H54" i="4" s="1"/>
  <c r="H56" i="4" s="1"/>
  <c r="H58" i="4" s="1"/>
  <c r="H63" i="4"/>
  <c r="H65" i="4" s="1"/>
  <c r="H67" i="4" s="1"/>
  <c r="H72" i="4" s="1"/>
  <c r="M157" i="4" l="1"/>
  <c r="M167" i="4" s="1"/>
  <c r="M220" i="7"/>
  <c r="M217" i="4" s="1"/>
  <c r="M63" i="4"/>
  <c r="M65" i="4" s="1"/>
  <c r="M67" i="4" s="1"/>
  <c r="M72" i="4" s="1"/>
  <c r="O217" i="4"/>
  <c r="O218" i="4" s="1"/>
  <c r="O63" i="4"/>
  <c r="O65" i="4" s="1"/>
  <c r="O67" i="4" s="1"/>
  <c r="O72" i="4" s="1"/>
  <c r="P52" i="4"/>
  <c r="P54" i="4" s="1"/>
  <c r="P56" i="4" s="1"/>
  <c r="P58" i="4" s="1"/>
  <c r="O52" i="4"/>
  <c r="O54" i="4" s="1"/>
  <c r="O56" i="4" s="1"/>
  <c r="O58" i="4" s="1"/>
  <c r="P217" i="4"/>
  <c r="P218" i="4" s="1"/>
  <c r="N48" i="4"/>
  <c r="P63" i="4"/>
  <c r="P65" i="4" s="1"/>
  <c r="P67" i="4" s="1"/>
  <c r="P72" i="4" s="1"/>
  <c r="O157" i="4"/>
  <c r="O167" i="4" s="1"/>
  <c r="P157" i="4"/>
  <c r="G48" i="4"/>
  <c r="N63" i="4"/>
  <c r="N65" i="4" s="1"/>
  <c r="N67" i="4" s="1"/>
  <c r="N72" i="4" s="1"/>
  <c r="N52" i="4"/>
  <c r="N54" i="4" s="1"/>
  <c r="N56" i="4" s="1"/>
  <c r="N58" i="4" s="1"/>
  <c r="N157" i="4"/>
  <c r="N161" i="4" s="1"/>
  <c r="N163" i="4" s="1"/>
  <c r="N220" i="7"/>
  <c r="N217" i="4" s="1"/>
  <c r="K215" i="7"/>
  <c r="K219" i="7" s="1"/>
  <c r="K220" i="7" s="1"/>
  <c r="L215" i="7"/>
  <c r="L219" i="7" s="1"/>
  <c r="L52" i="4" s="1"/>
  <c r="L54" i="4" s="1"/>
  <c r="L56" i="4" s="1"/>
  <c r="L58" i="4" s="1"/>
  <c r="E131" i="7"/>
  <c r="S130" i="7"/>
  <c r="Q161" i="4"/>
  <c r="Q163" i="4" s="1"/>
  <c r="P209" i="4"/>
  <c r="P221" i="4" s="1"/>
  <c r="Q209" i="4"/>
  <c r="Q221" i="4" s="1"/>
  <c r="Q171" i="4"/>
  <c r="Q173" i="4" s="1"/>
  <c r="M205" i="4"/>
  <c r="M209" i="4" s="1"/>
  <c r="Q167" i="4"/>
  <c r="Q218" i="4"/>
  <c r="O221" i="4"/>
  <c r="H205" i="4"/>
  <c r="H209" i="4" s="1"/>
  <c r="H217" i="4"/>
  <c r="G220" i="7"/>
  <c r="G52" i="4"/>
  <c r="G54" i="4" s="1"/>
  <c r="G56" i="4" s="1"/>
  <c r="G58" i="4" s="1"/>
  <c r="G157" i="4"/>
  <c r="G161" i="4" s="1"/>
  <c r="G63" i="4"/>
  <c r="G65" i="4" s="1"/>
  <c r="G67" i="4" s="1"/>
  <c r="G72" i="4" s="1"/>
  <c r="J205" i="4"/>
  <c r="J209" i="4" s="1"/>
  <c r="J217" i="4"/>
  <c r="H171" i="4"/>
  <c r="H167" i="4"/>
  <c r="H163" i="4"/>
  <c r="F167" i="4"/>
  <c r="F171" i="4"/>
  <c r="F163" i="4"/>
  <c r="F205" i="4"/>
  <c r="F209" i="4" s="1"/>
  <c r="F217" i="4"/>
  <c r="I220" i="7"/>
  <c r="I52" i="4"/>
  <c r="I54" i="4" s="1"/>
  <c r="I56" i="4" s="1"/>
  <c r="I58" i="4" s="1"/>
  <c r="I157" i="4"/>
  <c r="I161" i="4" s="1"/>
  <c r="I63" i="4"/>
  <c r="I65" i="4" s="1"/>
  <c r="I67" i="4" s="1"/>
  <c r="I72" i="4" s="1"/>
  <c r="J171" i="4"/>
  <c r="J167" i="4"/>
  <c r="J163" i="4"/>
  <c r="K63" i="4" l="1"/>
  <c r="K65" i="4" s="1"/>
  <c r="K67" i="4" s="1"/>
  <c r="K72" i="4" s="1"/>
  <c r="K157" i="4"/>
  <c r="K161" i="4" s="1"/>
  <c r="M171" i="4"/>
  <c r="M161" i="4"/>
  <c r="M163" i="4" s="1"/>
  <c r="M190" i="4" s="1"/>
  <c r="N205" i="4"/>
  <c r="L157" i="4"/>
  <c r="L161" i="4" s="1"/>
  <c r="L163" i="4" s="1"/>
  <c r="N171" i="4"/>
  <c r="N167" i="4"/>
  <c r="K52" i="4"/>
  <c r="K54" i="4" s="1"/>
  <c r="K56" i="4" s="1"/>
  <c r="K58" i="4" s="1"/>
  <c r="P161" i="4"/>
  <c r="P163" i="4" s="1"/>
  <c r="P167" i="4"/>
  <c r="P171" i="4"/>
  <c r="P173" i="4" s="1"/>
  <c r="L220" i="7"/>
  <c r="L205" i="4" s="1"/>
  <c r="L209" i="4" s="1"/>
  <c r="L63" i="4"/>
  <c r="L65" i="4" s="1"/>
  <c r="L67" i="4" s="1"/>
  <c r="L72" i="4" s="1"/>
  <c r="O161" i="4"/>
  <c r="O163" i="4" s="1"/>
  <c r="O171" i="4"/>
  <c r="O173" i="4" s="1"/>
  <c r="O177" i="4" s="1"/>
  <c r="S131" i="7"/>
  <c r="E133" i="7"/>
  <c r="Q240" i="4"/>
  <c r="Q247" i="4" s="1"/>
  <c r="Q190" i="4"/>
  <c r="N209" i="4"/>
  <c r="N221" i="4" s="1"/>
  <c r="Q175" i="4"/>
  <c r="Q176" i="4"/>
  <c r="Q177" i="4"/>
  <c r="Q242" i="4" s="1"/>
  <c r="Q249" i="4" s="1"/>
  <c r="I171" i="4"/>
  <c r="I167" i="4"/>
  <c r="I163" i="4"/>
  <c r="L217" i="4"/>
  <c r="G171" i="4"/>
  <c r="G167" i="4"/>
  <c r="G163" i="4"/>
  <c r="F221" i="4"/>
  <c r="K205" i="4"/>
  <c r="K209" i="4" s="1"/>
  <c r="K217" i="4"/>
  <c r="J190" i="4"/>
  <c r="J240" i="4"/>
  <c r="J247" i="4" s="1"/>
  <c r="I205" i="4"/>
  <c r="I209" i="4" s="1"/>
  <c r="I217" i="4"/>
  <c r="K167" i="4"/>
  <c r="K163" i="4"/>
  <c r="F190" i="4"/>
  <c r="F240" i="4"/>
  <c r="F247" i="4" s="1"/>
  <c r="G205" i="4"/>
  <c r="G217" i="4"/>
  <c r="N190" i="4"/>
  <c r="N240" i="4"/>
  <c r="H240" i="4"/>
  <c r="H247" i="4" s="1"/>
  <c r="H190" i="4"/>
  <c r="K171" i="4" l="1"/>
  <c r="M240" i="4"/>
  <c r="M247" i="4" s="1"/>
  <c r="L171" i="4"/>
  <c r="L167" i="4"/>
  <c r="O191" i="4"/>
  <c r="O242" i="4"/>
  <c r="O249" i="4" s="1"/>
  <c r="P240" i="4"/>
  <c r="P247" i="4" s="1"/>
  <c r="P190" i="4"/>
  <c r="P175" i="4"/>
  <c r="P176" i="4"/>
  <c r="P177" i="4"/>
  <c r="O240" i="4"/>
  <c r="O247" i="4" s="1"/>
  <c r="O190" i="4"/>
  <c r="O262" i="4"/>
  <c r="O176" i="4"/>
  <c r="O175" i="4"/>
  <c r="S133" i="7"/>
  <c r="E137" i="7"/>
  <c r="S137" i="7" s="1"/>
  <c r="G209" i="4"/>
  <c r="G221" i="4" s="1"/>
  <c r="Q191" i="4"/>
  <c r="Q262" i="4"/>
  <c r="S171" i="4"/>
  <c r="N247" i="4"/>
  <c r="G190" i="4"/>
  <c r="G240" i="4"/>
  <c r="G247" i="4" s="1"/>
  <c r="I190" i="4"/>
  <c r="I240" i="4"/>
  <c r="I247" i="4" s="1"/>
  <c r="L190" i="4"/>
  <c r="L240" i="4"/>
  <c r="L247" i="4" s="1"/>
  <c r="K190" i="4"/>
  <c r="K240" i="4"/>
  <c r="K247" i="4" s="1"/>
  <c r="P242" i="4" l="1"/>
  <c r="P249" i="4" s="1"/>
  <c r="P191" i="4"/>
  <c r="P262" i="4"/>
  <c r="E146" i="7"/>
  <c r="E149" i="7" s="1"/>
  <c r="E215" i="7" l="1"/>
  <c r="E48" i="4"/>
  <c r="E219" i="7" l="1"/>
  <c r="H221" i="4"/>
  <c r="E157" i="4" l="1"/>
  <c r="E52" i="4"/>
  <c r="E54" i="4" s="1"/>
  <c r="E56" i="4" s="1"/>
  <c r="E58" i="4" s="1"/>
  <c r="E220" i="7"/>
  <c r="E86" i="4"/>
  <c r="E87" i="4" s="1"/>
  <c r="E63" i="4"/>
  <c r="E65" i="4" s="1"/>
  <c r="E67" i="4" s="1"/>
  <c r="E72" i="4" s="1"/>
  <c r="J221" i="4"/>
  <c r="I221" i="4"/>
  <c r="E167" i="4" l="1"/>
  <c r="E161" i="4"/>
  <c r="E163" i="4" s="1"/>
  <c r="E217" i="4"/>
  <c r="E205" i="4"/>
  <c r="E209" i="4" s="1"/>
  <c r="E221" i="4" s="1"/>
  <c r="K221" i="4"/>
  <c r="E190" i="4" l="1"/>
  <c r="E240" i="4"/>
  <c r="E247" i="4" s="1"/>
  <c r="L221" i="4"/>
  <c r="M221" i="4" l="1"/>
  <c r="S211" i="7"/>
  <c r="S51" i="4" s="1"/>
  <c r="B218" i="7"/>
  <c r="S218" i="7" s="1"/>
  <c r="B219" i="7" l="1"/>
  <c r="B86" i="4" s="1"/>
  <c r="B220" i="7" l="1"/>
  <c r="B205" i="4" s="1"/>
  <c r="B157" i="4"/>
  <c r="B161" i="4" s="1"/>
  <c r="B87" i="4"/>
  <c r="B217" i="4" l="1"/>
  <c r="B167" i="4"/>
  <c r="C89" i="4"/>
  <c r="B89" i="4"/>
  <c r="B163" i="4"/>
  <c r="B209" i="4"/>
  <c r="C90" i="4" l="1"/>
  <c r="C93" i="4" s="1"/>
  <c r="C96" i="4" s="1"/>
  <c r="C103" i="4" s="1"/>
  <c r="C184" i="4" s="1"/>
  <c r="C186" i="4" s="1"/>
  <c r="C169" i="4"/>
  <c r="C173" i="4" s="1"/>
  <c r="B221" i="4"/>
  <c r="B190" i="4"/>
  <c r="B240" i="4"/>
  <c r="B169" i="4"/>
  <c r="B90" i="4"/>
  <c r="B91" i="4" s="1"/>
  <c r="B247" i="4" l="1"/>
  <c r="C192" i="4"/>
  <c r="C241" i="4"/>
  <c r="C248" i="4" s="1"/>
  <c r="B93" i="4"/>
  <c r="B173" i="4"/>
  <c r="C176" i="4"/>
  <c r="C175" i="4"/>
  <c r="C177" i="4"/>
  <c r="C91" i="4"/>
  <c r="C262" i="4" l="1"/>
  <c r="C242" i="4"/>
  <c r="C249" i="4" s="1"/>
  <c r="C191" i="4"/>
  <c r="B177" i="4"/>
  <c r="B176" i="4"/>
  <c r="B175" i="4"/>
  <c r="B96" i="4"/>
  <c r="B178" i="4" l="1"/>
  <c r="C178" i="4" s="1"/>
  <c r="B242" i="4"/>
  <c r="B191" i="4"/>
  <c r="B103" i="4"/>
  <c r="B97" i="4"/>
  <c r="B101" i="4" s="1"/>
  <c r="C95" i="4" s="1"/>
  <c r="C97" i="4" l="1"/>
  <c r="C101" i="4" s="1"/>
  <c r="D95" i="4" s="1"/>
  <c r="B184" i="4"/>
  <c r="B104" i="4"/>
  <c r="B216" i="4"/>
  <c r="B249" i="4"/>
  <c r="B218" i="4" l="1"/>
  <c r="B186" i="4"/>
  <c r="C104" i="4"/>
  <c r="C216" i="4"/>
  <c r="C218" i="4" s="1"/>
  <c r="B241" i="4" l="1"/>
  <c r="B192" i="4"/>
  <c r="B262" i="4"/>
  <c r="B222" i="4"/>
  <c r="C222" i="4" s="1"/>
  <c r="C224" i="4" s="1"/>
  <c r="C225" i="4" s="1"/>
  <c r="C227" i="4" s="1"/>
  <c r="C243" i="4" s="1"/>
  <c r="C250" i="4" s="1"/>
  <c r="B224" i="4" l="1"/>
  <c r="B248" i="4"/>
  <c r="B225" i="4" l="1"/>
  <c r="B227" i="4" l="1"/>
  <c r="B243" i="4" l="1"/>
  <c r="B250" i="4" l="1"/>
  <c r="D146" i="7"/>
  <c r="S146" i="7" l="1"/>
  <c r="D149" i="7"/>
  <c r="S117" i="7"/>
  <c r="D215" i="7" l="1"/>
  <c r="S149" i="7"/>
  <c r="S48" i="4" s="1"/>
  <c r="S215" i="7" l="1"/>
  <c r="D219" i="7"/>
  <c r="S219" i="7" l="1"/>
  <c r="D220" i="7"/>
  <c r="D86" i="4"/>
  <c r="D157" i="4"/>
  <c r="S52" i="4" l="1"/>
  <c r="S54" i="4" s="1"/>
  <c r="S56" i="4" s="1"/>
  <c r="S58" i="4" s="1"/>
  <c r="T157" i="4"/>
  <c r="S63" i="4"/>
  <c r="S65" i="4" s="1"/>
  <c r="S67" i="4" s="1"/>
  <c r="S86" i="4"/>
  <c r="D87" i="4"/>
  <c r="D205" i="4"/>
  <c r="S220" i="7"/>
  <c r="D217" i="4"/>
  <c r="S217" i="4" s="1"/>
  <c r="D167" i="4"/>
  <c r="S157" i="4"/>
  <c r="D161" i="4"/>
  <c r="S167" i="4" l="1"/>
  <c r="D209" i="4"/>
  <c r="S205" i="4"/>
  <c r="S161" i="4"/>
  <c r="D163" i="4"/>
  <c r="S69" i="4"/>
  <c r="S72" i="4"/>
  <c r="S73" i="4" s="1"/>
  <c r="S87" i="4"/>
  <c r="D89" i="4"/>
  <c r="E89" i="4"/>
  <c r="S209" i="4" l="1"/>
  <c r="D221" i="4"/>
  <c r="E90" i="4"/>
  <c r="E93" i="4" s="1"/>
  <c r="E96" i="4" s="1"/>
  <c r="E103" i="4" s="1"/>
  <c r="E184" i="4" s="1"/>
  <c r="E186" i="4" s="1"/>
  <c r="E169" i="4"/>
  <c r="E173" i="4" s="1"/>
  <c r="D169" i="4"/>
  <c r="S89" i="4"/>
  <c r="D240" i="4"/>
  <c r="S163" i="4"/>
  <c r="D190" i="4"/>
  <c r="S190" i="4" s="1"/>
  <c r="D90" i="4"/>
  <c r="E91" i="4" l="1"/>
  <c r="S240" i="4"/>
  <c r="B253" i="4"/>
  <c r="D247" i="4"/>
  <c r="S247" i="4" s="1"/>
  <c r="E176" i="4"/>
  <c r="E175" i="4"/>
  <c r="E177" i="4"/>
  <c r="S90" i="4"/>
  <c r="D93" i="4"/>
  <c r="S221" i="4"/>
  <c r="D91" i="4"/>
  <c r="D173" i="4"/>
  <c r="S169" i="4"/>
  <c r="E192" i="4"/>
  <c r="E241" i="4"/>
  <c r="E248" i="4" s="1"/>
  <c r="S91" i="4" l="1"/>
  <c r="D175" i="4"/>
  <c r="D176" i="4"/>
  <c r="D177" i="4"/>
  <c r="E262" i="4"/>
  <c r="E191" i="4"/>
  <c r="E242" i="4"/>
  <c r="E249" i="4" s="1"/>
  <c r="S93" i="4"/>
  <c r="D96" i="4"/>
  <c r="D242" i="4" l="1"/>
  <c r="D191" i="4"/>
  <c r="D178" i="4"/>
  <c r="E178" i="4" s="1"/>
  <c r="D103" i="4"/>
  <c r="D97" i="4"/>
  <c r="D101" i="4" s="1"/>
  <c r="E95" i="4" s="1"/>
  <c r="S96" i="4"/>
  <c r="E97" i="4" l="1"/>
  <c r="D249" i="4"/>
  <c r="D216" i="4"/>
  <c r="D104" i="4"/>
  <c r="S103" i="4"/>
  <c r="D184" i="4"/>
  <c r="E104" i="4" l="1"/>
  <c r="E216" i="4"/>
  <c r="E218" i="4" s="1"/>
  <c r="E101" i="4"/>
  <c r="F95" i="4" s="1"/>
  <c r="S184" i="4"/>
  <c r="D186" i="4"/>
  <c r="D218" i="4"/>
  <c r="D241" i="4" l="1"/>
  <c r="D192" i="4"/>
  <c r="D262" i="4"/>
  <c r="D222" i="4"/>
  <c r="E222" i="4" s="1"/>
  <c r="E224" i="4" s="1"/>
  <c r="E225" i="4" s="1"/>
  <c r="E227" i="4" s="1"/>
  <c r="E243" i="4" s="1"/>
  <c r="E250" i="4" s="1"/>
  <c r="F97" i="4"/>
  <c r="F100" i="4"/>
  <c r="J100" i="4" l="1"/>
  <c r="F104" i="4"/>
  <c r="F98" i="4"/>
  <c r="F99" i="4" s="1"/>
  <c r="F216" i="4"/>
  <c r="D224" i="4"/>
  <c r="D248" i="4"/>
  <c r="F101" i="4"/>
  <c r="G95" i="4" s="1"/>
  <c r="H100" i="4"/>
  <c r="G100" i="4"/>
  <c r="I100" i="4"/>
  <c r="F105" i="4" l="1"/>
  <c r="F106" i="4"/>
  <c r="G97" i="4"/>
  <c r="F218" i="4"/>
  <c r="D225" i="4"/>
  <c r="G216" i="4" l="1"/>
  <c r="G104" i="4"/>
  <c r="G98" i="4"/>
  <c r="F107" i="4"/>
  <c r="G101" i="4"/>
  <c r="H95" i="4" s="1"/>
  <c r="D227" i="4"/>
  <c r="F222" i="4"/>
  <c r="D243" i="4" l="1"/>
  <c r="F172" i="4"/>
  <c r="F182" i="4"/>
  <c r="G218" i="4"/>
  <c r="H97" i="4"/>
  <c r="G105" i="4"/>
  <c r="G99" i="4"/>
  <c r="F224" i="4"/>
  <c r="F225" i="4" l="1"/>
  <c r="F186" i="4"/>
  <c r="G222" i="4"/>
  <c r="D250" i="4"/>
  <c r="H98" i="4"/>
  <c r="H104" i="4"/>
  <c r="H216" i="4"/>
  <c r="G106" i="4"/>
  <c r="G107" i="4" s="1"/>
  <c r="F173" i="4"/>
  <c r="H101" i="4"/>
  <c r="I95" i="4" s="1"/>
  <c r="F227" i="4" l="1"/>
  <c r="G224" i="4"/>
  <c r="F192" i="4"/>
  <c r="F241" i="4"/>
  <c r="I97" i="4"/>
  <c r="F176" i="4"/>
  <c r="F175" i="4"/>
  <c r="F177" i="4"/>
  <c r="H218" i="4"/>
  <c r="G172" i="4"/>
  <c r="G182" i="4"/>
  <c r="H105" i="4"/>
  <c r="H99" i="4"/>
  <c r="G173" i="4" l="1"/>
  <c r="F262" i="4"/>
  <c r="F191" i="4"/>
  <c r="F242" i="4"/>
  <c r="F243" i="4"/>
  <c r="F178" i="4"/>
  <c r="I104" i="4"/>
  <c r="I98" i="4"/>
  <c r="I216" i="4"/>
  <c r="I218" i="4" s="1"/>
  <c r="G186" i="4"/>
  <c r="I101" i="4"/>
  <c r="J95" i="4" s="1"/>
  <c r="H106" i="4"/>
  <c r="H107" i="4" s="1"/>
  <c r="H222" i="4"/>
  <c r="I222" i="4" s="1"/>
  <c r="I224" i="4" s="1"/>
  <c r="I225" i="4" s="1"/>
  <c r="I227" i="4" s="1"/>
  <c r="F248" i="4"/>
  <c r="G225" i="4"/>
  <c r="G227" i="4" l="1"/>
  <c r="H224" i="4"/>
  <c r="G241" i="4"/>
  <c r="G192" i="4"/>
  <c r="F249" i="4"/>
  <c r="G176" i="4"/>
  <c r="G175" i="4"/>
  <c r="G177" i="4"/>
  <c r="G178" i="4" s="1"/>
  <c r="I105" i="4"/>
  <c r="I99" i="4"/>
  <c r="F250" i="4"/>
  <c r="J97" i="4"/>
  <c r="H182" i="4"/>
  <c r="H172" i="4"/>
  <c r="J101" i="4" l="1"/>
  <c r="K95" i="4" s="1"/>
  <c r="I106" i="4"/>
  <c r="I107" i="4" s="1"/>
  <c r="G243" i="4"/>
  <c r="G242" i="4"/>
  <c r="G191" i="4"/>
  <c r="G262" i="4"/>
  <c r="G248" i="4"/>
  <c r="H186" i="4"/>
  <c r="H173" i="4"/>
  <c r="H225" i="4"/>
  <c r="J104" i="4"/>
  <c r="J98" i="4"/>
  <c r="J216" i="4"/>
  <c r="J218" i="4" s="1"/>
  <c r="K97" i="4" l="1"/>
  <c r="K216" i="4" s="1"/>
  <c r="K218" i="4" s="1"/>
  <c r="I172" i="4"/>
  <c r="I182" i="4"/>
  <c r="G250" i="4"/>
  <c r="H176" i="4"/>
  <c r="H177" i="4"/>
  <c r="H175" i="4"/>
  <c r="H241" i="4"/>
  <c r="H192" i="4"/>
  <c r="G249" i="4"/>
  <c r="J105" i="4"/>
  <c r="J222" i="4"/>
  <c r="H227" i="4"/>
  <c r="J99" i="4"/>
  <c r="K104" i="4" l="1"/>
  <c r="K100" i="4"/>
  <c r="K101" i="4" s="1"/>
  <c r="L95" i="4" s="1"/>
  <c r="L97" i="4" s="1"/>
  <c r="S100" i="4" s="1"/>
  <c r="J106" i="4"/>
  <c r="J107" i="4" s="1"/>
  <c r="I173" i="4"/>
  <c r="H248" i="4"/>
  <c r="I186" i="4"/>
  <c r="J224" i="4"/>
  <c r="H242" i="4"/>
  <c r="H243" i="4"/>
  <c r="H191" i="4"/>
  <c r="H262" i="4"/>
  <c r="H178" i="4"/>
  <c r="K222" i="4"/>
  <c r="K224" i="4" s="1"/>
  <c r="K225" i="4" s="1"/>
  <c r="K227" i="4" s="1"/>
  <c r="K98" i="4" l="1"/>
  <c r="K105" i="4" s="1"/>
  <c r="J172" i="4"/>
  <c r="J182" i="4"/>
  <c r="I192" i="4"/>
  <c r="I241" i="4"/>
  <c r="L104" i="4"/>
  <c r="L216" i="4"/>
  <c r="L218" i="4" s="1"/>
  <c r="L222" i="4" s="1"/>
  <c r="L224" i="4" s="1"/>
  <c r="L225" i="4" s="1"/>
  <c r="L227" i="4" s="1"/>
  <c r="L98" i="4"/>
  <c r="I177" i="4"/>
  <c r="I178" i="4" s="1"/>
  <c r="I176" i="4"/>
  <c r="I175" i="4"/>
  <c r="H249" i="4"/>
  <c r="J225" i="4"/>
  <c r="H250" i="4"/>
  <c r="L101" i="4"/>
  <c r="M95" i="4" s="1"/>
  <c r="K99" i="4" l="1"/>
  <c r="K106" i="4" s="1"/>
  <c r="K107" i="4" s="1"/>
  <c r="K182" i="4" s="1"/>
  <c r="K186" i="4" s="1"/>
  <c r="L105" i="4"/>
  <c r="L99" i="4"/>
  <c r="L106" i="4" s="1"/>
  <c r="I248" i="4"/>
  <c r="J173" i="4"/>
  <c r="J227" i="4"/>
  <c r="I191" i="4"/>
  <c r="I262" i="4"/>
  <c r="I242" i="4"/>
  <c r="I243" i="4"/>
  <c r="J186" i="4"/>
  <c r="M97" i="4"/>
  <c r="K172" i="4" l="1"/>
  <c r="K173" i="4" s="1"/>
  <c r="K177" i="4" s="1"/>
  <c r="L107" i="4"/>
  <c r="L182" i="4" s="1"/>
  <c r="L186" i="4" s="1"/>
  <c r="K192" i="4"/>
  <c r="K241" i="4"/>
  <c r="K248" i="4" s="1"/>
  <c r="J177" i="4"/>
  <c r="J175" i="4"/>
  <c r="J176" i="4"/>
  <c r="M104" i="4"/>
  <c r="M216" i="4"/>
  <c r="M218" i="4" s="1"/>
  <c r="M222" i="4" s="1"/>
  <c r="M224" i="4" s="1"/>
  <c r="M225" i="4" s="1"/>
  <c r="M227" i="4" s="1"/>
  <c r="M98" i="4"/>
  <c r="I250" i="4"/>
  <c r="J192" i="4"/>
  <c r="J241" i="4"/>
  <c r="J248" i="4" s="1"/>
  <c r="M101" i="4"/>
  <c r="N95" i="4" s="1"/>
  <c r="I249" i="4"/>
  <c r="K175" i="4" l="1"/>
  <c r="K176" i="4"/>
  <c r="L172" i="4"/>
  <c r="L173" i="4" s="1"/>
  <c r="L176" i="4" s="1"/>
  <c r="J191" i="4"/>
  <c r="J242" i="4"/>
  <c r="J249" i="4" s="1"/>
  <c r="J262" i="4"/>
  <c r="J243" i="4"/>
  <c r="J250" i="4" s="1"/>
  <c r="J178" i="4"/>
  <c r="K178" i="4" s="1"/>
  <c r="M99" i="4"/>
  <c r="M106" i="4" s="1"/>
  <c r="M105" i="4"/>
  <c r="K262" i="4"/>
  <c r="K191" i="4"/>
  <c r="K243" i="4"/>
  <c r="K250" i="4" s="1"/>
  <c r="K242" i="4"/>
  <c r="K249" i="4" s="1"/>
  <c r="L192" i="4"/>
  <c r="L241" i="4"/>
  <c r="L248" i="4" s="1"/>
  <c r="N97" i="4"/>
  <c r="N101" i="4" s="1"/>
  <c r="L177" i="4" l="1"/>
  <c r="L178" i="4" s="1"/>
  <c r="L175" i="4"/>
  <c r="M107" i="4"/>
  <c r="N98" i="4"/>
  <c r="N104" i="4"/>
  <c r="S104" i="4" s="1"/>
  <c r="N216" i="4"/>
  <c r="S97" i="4"/>
  <c r="L242" i="4" l="1"/>
  <c r="L249" i="4" s="1"/>
  <c r="L262" i="4"/>
  <c r="L191" i="4"/>
  <c r="L243" i="4"/>
  <c r="L250" i="4" s="1"/>
  <c r="M182" i="4"/>
  <c r="M186" i="4" s="1"/>
  <c r="M172" i="4"/>
  <c r="M173" i="4" s="1"/>
  <c r="N99" i="4"/>
  <c r="N105" i="4"/>
  <c r="S98" i="4"/>
  <c r="N218" i="4"/>
  <c r="S216" i="4"/>
  <c r="M192" i="4" l="1"/>
  <c r="M241" i="4"/>
  <c r="M248" i="4" s="1"/>
  <c r="S105" i="4"/>
  <c r="N222" i="4"/>
  <c r="N224" i="4" s="1"/>
  <c r="N225" i="4" s="1"/>
  <c r="N227" i="4" s="1"/>
  <c r="S218" i="4"/>
  <c r="T222" i="4" s="1"/>
  <c r="M176" i="4"/>
  <c r="M177" i="4"/>
  <c r="M175" i="4"/>
  <c r="N106" i="4"/>
  <c r="S106" i="4" s="1"/>
  <c r="S99" i="4"/>
  <c r="O222" i="4" l="1"/>
  <c r="O224" i="4" s="1"/>
  <c r="O225" i="4" s="1"/>
  <c r="O227" i="4" s="1"/>
  <c r="O243" i="4" s="1"/>
  <c r="O250" i="4" s="1"/>
  <c r="M191" i="4"/>
  <c r="M242" i="4"/>
  <c r="M249" i="4" s="1"/>
  <c r="M243" i="4"/>
  <c r="M250" i="4" s="1"/>
  <c r="M262" i="4"/>
  <c r="M178" i="4"/>
  <c r="N107" i="4"/>
  <c r="P222" i="4" l="1"/>
  <c r="P224" i="4" s="1"/>
  <c r="P225" i="4" s="1"/>
  <c r="P227" i="4" s="1"/>
  <c r="P243" i="4" s="1"/>
  <c r="P250" i="4" s="1"/>
  <c r="N172" i="4"/>
  <c r="N182" i="4"/>
  <c r="S107" i="4"/>
  <c r="Q222" i="4" l="1"/>
  <c r="S222" i="4" s="1"/>
  <c r="N173" i="4"/>
  <c r="S172" i="4"/>
  <c r="N186" i="4"/>
  <c r="S182" i="4"/>
  <c r="Q224" i="4" l="1"/>
  <c r="S224" i="4" s="1"/>
  <c r="N241" i="4"/>
  <c r="N192" i="4"/>
  <c r="S192" i="4" s="1"/>
  <c r="S186" i="4"/>
  <c r="N176" i="4"/>
  <c r="S176" i="4" s="1"/>
  <c r="N177" i="4"/>
  <c r="N175" i="4"/>
  <c r="S175" i="4" s="1"/>
  <c r="S173" i="4"/>
  <c r="Q225" i="4" l="1"/>
  <c r="N248" i="4"/>
  <c r="S248" i="4" s="1"/>
  <c r="B254" i="4"/>
  <c r="S241" i="4"/>
  <c r="N262" i="4"/>
  <c r="N243" i="4"/>
  <c r="N191" i="4"/>
  <c r="S191" i="4" s="1"/>
  <c r="N242" i="4"/>
  <c r="S177" i="4"/>
  <c r="N178" i="4"/>
  <c r="O178" i="4" s="1"/>
  <c r="P178" i="4" s="1"/>
  <c r="Q178" i="4" s="1"/>
  <c r="S225" i="4" l="1"/>
  <c r="Q227" i="4"/>
  <c r="N250" i="4"/>
  <c r="B256" i="4"/>
  <c r="N249" i="4"/>
  <c r="S249" i="4" s="1"/>
  <c r="B255" i="4"/>
  <c r="S242" i="4"/>
  <c r="T186" i="4"/>
  <c r="S227" i="4" l="1"/>
  <c r="T243" i="4" s="1"/>
  <c r="Q243" i="4"/>
  <c r="S243" i="4" l="1"/>
  <c r="Q250" i="4"/>
  <c r="S250" i="4" s="1"/>
</calcChain>
</file>

<file path=xl/sharedStrings.xml><?xml version="1.0" encoding="utf-8"?>
<sst xmlns="http://schemas.openxmlformats.org/spreadsheetml/2006/main" count="1940" uniqueCount="786">
  <si>
    <t>GEMELL MINING ENGINEERS</t>
  </si>
  <si>
    <t>Tonnes</t>
  </si>
  <si>
    <t>Grade</t>
  </si>
  <si>
    <t>(t)</t>
  </si>
  <si>
    <t>Mining</t>
  </si>
  <si>
    <t>Total</t>
  </si>
  <si>
    <t>Processing</t>
  </si>
  <si>
    <t>ROM Stockpile</t>
  </si>
  <si>
    <t>REVENUE</t>
  </si>
  <si>
    <t>for</t>
  </si>
  <si>
    <t>PHYSICAL INPUTS</t>
  </si>
  <si>
    <t>Deductions</t>
  </si>
  <si>
    <t>Debt Funding</t>
  </si>
  <si>
    <t>Debt on Initial Capital</t>
  </si>
  <si>
    <t>of required capital</t>
  </si>
  <si>
    <t>Repayment Period</t>
  </si>
  <si>
    <t>years</t>
  </si>
  <si>
    <t>Interest Rate</t>
  </si>
  <si>
    <t>per year</t>
  </si>
  <si>
    <t>per period</t>
  </si>
  <si>
    <t>Taxation Rate</t>
  </si>
  <si>
    <t>On Assessed Income</t>
  </si>
  <si>
    <t>Revenue Earned</t>
  </si>
  <si>
    <t>General</t>
  </si>
  <si>
    <t>Period Duration</t>
  </si>
  <si>
    <t>year</t>
  </si>
  <si>
    <t>Year</t>
  </si>
  <si>
    <t>Exploration</t>
  </si>
  <si>
    <t>Mine</t>
  </si>
  <si>
    <t>Mine Closure</t>
  </si>
  <si>
    <t>Site Administration</t>
  </si>
  <si>
    <t>Corporate Overhead</t>
  </si>
  <si>
    <t>Check</t>
  </si>
  <si>
    <t>Funds Required (Real)</t>
  </si>
  <si>
    <t>Capital Expenditure</t>
  </si>
  <si>
    <t>Operating Losses</t>
  </si>
  <si>
    <t>Total Requirement</t>
  </si>
  <si>
    <t>Funds Provided (Real)</t>
  </si>
  <si>
    <t>Equity Contribution</t>
  </si>
  <si>
    <t>Total Provision</t>
  </si>
  <si>
    <t>Debt Funding (Nominal)</t>
  </si>
  <si>
    <t>Total Debt (Nominal)</t>
  </si>
  <si>
    <t>Opening Balance</t>
  </si>
  <si>
    <t>Drawdown</t>
  </si>
  <si>
    <t>Interest</t>
  </si>
  <si>
    <t>Interest Repayment</t>
  </si>
  <si>
    <t>Principal &amp; Cap Int Repayment</t>
  </si>
  <si>
    <t>Total Repayment</t>
  </si>
  <si>
    <t>Closing Balance</t>
  </si>
  <si>
    <t>Total Debt (Real)</t>
  </si>
  <si>
    <t>Depreciation</t>
  </si>
  <si>
    <t>From Past Expenditure</t>
  </si>
  <si>
    <t>From Direct Expenditure</t>
  </si>
  <si>
    <t>Interest Booked</t>
  </si>
  <si>
    <t>Operating Surplus</t>
  </si>
  <si>
    <t xml:space="preserve">    Before Deductions</t>
  </si>
  <si>
    <t xml:space="preserve">    After Deductions</t>
  </si>
  <si>
    <t>Revenue</t>
  </si>
  <si>
    <t>Revenue Received</t>
  </si>
  <si>
    <t>Costs</t>
  </si>
  <si>
    <t>Capital</t>
  </si>
  <si>
    <t>Project Cash Flow</t>
  </si>
  <si>
    <t>Equity Inflow</t>
  </si>
  <si>
    <t>Equity Outflow</t>
  </si>
  <si>
    <t>Operating Loss</t>
  </si>
  <si>
    <t>Debt Repayment</t>
  </si>
  <si>
    <t>Equity Cash Flow</t>
  </si>
  <si>
    <t>Company Contribution</t>
  </si>
  <si>
    <t>Return to Company</t>
  </si>
  <si>
    <t>Net Cash Flow</t>
  </si>
  <si>
    <t>Cumulative Cash Flow</t>
  </si>
  <si>
    <t>LENDER</t>
  </si>
  <si>
    <t>Debt Inflow</t>
  </si>
  <si>
    <t>Debt Outflow</t>
  </si>
  <si>
    <t>Lender's Cash Flow</t>
  </si>
  <si>
    <t>Lender</t>
  </si>
  <si>
    <t>Per Period</t>
  </si>
  <si>
    <t>Per Half Period</t>
  </si>
  <si>
    <t>Discounted Cash Flow</t>
  </si>
  <si>
    <t>Internal Rate of Return (Real)</t>
  </si>
  <si>
    <t>Sub Total</t>
  </si>
  <si>
    <t>Cash Flow Balance Check: Not for Printing: All entries should be zero</t>
  </si>
  <si>
    <t>Net Cash Movements</t>
  </si>
  <si>
    <t>GENERAL COST/REVENUE DATA</t>
  </si>
  <si>
    <t>Real/Nominal Conversion Rate</t>
  </si>
  <si>
    <t>Inflation Rate</t>
  </si>
  <si>
    <t>From Expenditure in:</t>
  </si>
  <si>
    <t>Year -3</t>
  </si>
  <si>
    <t>Year -2</t>
  </si>
  <si>
    <t>Year -1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</si>
  <si>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</si>
  <si>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</si>
  <si>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</si>
  <si>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</si>
  <si>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</si>
  <si>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</si>
  <si>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</si>
  <si>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</si>
  <si>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</si>
  <si>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</si>
  <si>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Income Tax</t>
  </si>
  <si>
    <t>Total Project</t>
  </si>
  <si>
    <t xml:space="preserve">PROJECT  </t>
  </si>
  <si>
    <t>Initial Equity Funding</t>
  </si>
  <si>
    <t>Ongoing Capital Costs</t>
  </si>
  <si>
    <t>Project</t>
  </si>
  <si>
    <t>From Capitalised Op Costs</t>
  </si>
  <si>
    <t>EQUITY</t>
  </si>
  <si>
    <t>All currency figures are Australian dollars, unless otherwise specified</t>
  </si>
  <si>
    <t>of contract mining costs</t>
  </si>
  <si>
    <t>Mine Services</t>
  </si>
  <si>
    <t>Operating Labour</t>
  </si>
  <si>
    <t>Maintenance Labour</t>
  </si>
  <si>
    <t>Contingency</t>
  </si>
  <si>
    <t>DEBT SCHEDULE (A$'000)</t>
  </si>
  <si>
    <t>per tonne processed</t>
  </si>
  <si>
    <t>Consumables</t>
  </si>
  <si>
    <t>Maintenance Spares</t>
  </si>
  <si>
    <t>Contract Services</t>
  </si>
  <si>
    <t>Utilities</t>
  </si>
  <si>
    <t>OFF-SITE COSTS</t>
  </si>
  <si>
    <t>Royalty</t>
  </si>
  <si>
    <t>effective ad valorem rate</t>
  </si>
  <si>
    <t>Site Operating</t>
  </si>
  <si>
    <t>Total Site Operating</t>
  </si>
  <si>
    <t>Off Site</t>
  </si>
  <si>
    <t>Total Operating</t>
  </si>
  <si>
    <t>Surplus</t>
  </si>
  <si>
    <t>Life-of-Mine Capital</t>
  </si>
  <si>
    <t>Cash Operating</t>
  </si>
  <si>
    <t>Total Production</t>
  </si>
  <si>
    <t>Production Surplus</t>
  </si>
  <si>
    <t>Off-Site</t>
  </si>
  <si>
    <t>Owner's Costs</t>
  </si>
  <si>
    <t>Initial</t>
  </si>
  <si>
    <t>Volume</t>
  </si>
  <si>
    <t>(m3)</t>
  </si>
  <si>
    <t>dry tonnes per cubic metre</t>
  </si>
  <si>
    <t xml:space="preserve">    Total</t>
  </si>
  <si>
    <t>Open Pit</t>
  </si>
  <si>
    <t>Open Pit Mining</t>
  </si>
  <si>
    <t>Open Pit Dayworks</t>
  </si>
  <si>
    <t>UNIT REVENUE AND COST SCHEDULE (2011 A$)</t>
  </si>
  <si>
    <t>Native Title  Royalty</t>
  </si>
  <si>
    <t>Native Title Royalty</t>
  </si>
  <si>
    <t>CASH FLOW SCHEDULE (2011 A$'000, before tax)</t>
  </si>
  <si>
    <t>DISCOUNTED CASH FLOWS</t>
  </si>
  <si>
    <t>At Discount Rate =</t>
  </si>
  <si>
    <t>Project Group</t>
  </si>
  <si>
    <t>Owners</t>
  </si>
  <si>
    <t>Discount Rate</t>
  </si>
  <si>
    <t>Per Year</t>
  </si>
  <si>
    <t>Off Site Costs</t>
  </si>
  <si>
    <t>Royalties</t>
  </si>
  <si>
    <t>Site Operating Costs</t>
  </si>
  <si>
    <t>ROYALTIES</t>
  </si>
  <si>
    <t>REVENUE, ROYALTY AND OFF-SITE COSTS (2011 A$'000, unless otherwise specified)</t>
  </si>
  <si>
    <t xml:space="preserve">    Nominal A$'000</t>
  </si>
  <si>
    <t>CAPITAL COSTS (2011 A$'000, unless otherwise specified)</t>
  </si>
  <si>
    <t>DEPRECIATION SCHEDULE (Nominal A$'000)</t>
  </si>
  <si>
    <t>Tax Payable</t>
  </si>
  <si>
    <t>Tax Paid</t>
  </si>
  <si>
    <t>Taxation (2011 A$'000)</t>
  </si>
  <si>
    <t>PARTICIPANTS' CASH FLOWS (2011 A$'000)</t>
  </si>
  <si>
    <t>Direct Cash Flow</t>
  </si>
  <si>
    <t>Half Yearly: say $2m exploration plus $1m accum losses</t>
  </si>
  <si>
    <t>per tonne</t>
  </si>
  <si>
    <t>ARTHUR RIVER MAGNESITE PROJECT</t>
  </si>
  <si>
    <t>Ore Characteristics</t>
  </si>
  <si>
    <t>Cavities (assumed)</t>
  </si>
  <si>
    <t>In Situ Bulk Density (Hard)</t>
  </si>
  <si>
    <t>In Situ Bulk Density (Average)</t>
  </si>
  <si>
    <t>Hard Magnesite Rejects</t>
  </si>
  <si>
    <t>Waste Characteristics</t>
  </si>
  <si>
    <t>Overburden ISBD</t>
  </si>
  <si>
    <t>Transitional ISBD</t>
  </si>
  <si>
    <t>Fresh ISBD</t>
  </si>
  <si>
    <t>Moisture Content</t>
  </si>
  <si>
    <t>Northern Pit</t>
  </si>
  <si>
    <t>Southern Pit</t>
  </si>
  <si>
    <t>Grade (% Mg)</t>
  </si>
  <si>
    <t>Feed</t>
  </si>
  <si>
    <t xml:space="preserve">    Tonnes (wmt)</t>
  </si>
  <si>
    <t xml:space="preserve">    Tonnes (dmt)</t>
  </si>
  <si>
    <t xml:space="preserve">    Grade (% Mg)</t>
  </si>
  <si>
    <t>Rejects</t>
  </si>
  <si>
    <t>Product</t>
  </si>
  <si>
    <t>Tonnes (wmt)</t>
  </si>
  <si>
    <t>Tonnes (dmt)</t>
  </si>
  <si>
    <t>Minesite Product Stockpile</t>
  </si>
  <si>
    <t>Calcining Feed Stockpile</t>
  </si>
  <si>
    <t>Calcining</t>
  </si>
  <si>
    <t>Gas Rejects</t>
  </si>
  <si>
    <t>Solids Rejects</t>
  </si>
  <si>
    <t>Port Stockpile</t>
  </si>
  <si>
    <t>Calcined Magnesia Stockpile</t>
  </si>
  <si>
    <t>Calcined Magnesia Trucked</t>
  </si>
  <si>
    <t>PIT VOLUMES</t>
  </si>
  <si>
    <t>Bench</t>
  </si>
  <si>
    <t>(%MgO)</t>
  </si>
  <si>
    <t>(%CaO)</t>
  </si>
  <si>
    <t>(%Fe)</t>
  </si>
  <si>
    <t>Overburden</t>
  </si>
  <si>
    <t>Fresh Waste</t>
  </si>
  <si>
    <t>Ore</t>
  </si>
  <si>
    <t>Ore Reserve</t>
  </si>
  <si>
    <t>Mineral Resource</t>
  </si>
  <si>
    <t xml:space="preserve">     Overburden</t>
  </si>
  <si>
    <t xml:space="preserve">      Fresh Waste</t>
  </si>
  <si>
    <t xml:space="preserve">       Trans Waste</t>
  </si>
  <si>
    <t xml:space="preserve">   Internal Dilution</t>
  </si>
  <si>
    <t>Internal Dilution ISBD</t>
  </si>
  <si>
    <t>Mining Recovery</t>
  </si>
  <si>
    <t>External Dilution</t>
  </si>
  <si>
    <t xml:space="preserve">   External Dilution</t>
  </si>
  <si>
    <t>All Pits</t>
  </si>
  <si>
    <t>dry tonnes per year</t>
  </si>
  <si>
    <t>Material</t>
  </si>
  <si>
    <t>Mass Balance Assumptions</t>
  </si>
  <si>
    <t>of mineral resource grade</t>
  </si>
  <si>
    <t>of contained magnesium oxide</t>
  </si>
  <si>
    <t>Calcined Product Grade</t>
  </si>
  <si>
    <t>MgO</t>
  </si>
  <si>
    <t>Calcined Product Rate</t>
  </si>
  <si>
    <t>(t MgO)</t>
  </si>
  <si>
    <t>of transported tonnes</t>
  </si>
  <si>
    <t>Ore Loss in Transit</t>
  </si>
  <si>
    <t>TO BE REVISED BY R KOENIG OR J CANTERFORD</t>
  </si>
  <si>
    <t>Average Stockpile Levels</t>
  </si>
  <si>
    <t>ROM</t>
  </si>
  <si>
    <t>Location</t>
  </si>
  <si>
    <t>Plant</t>
  </si>
  <si>
    <t>Product in Containers</t>
  </si>
  <si>
    <t>Port</t>
  </si>
  <si>
    <t>Plant Availabilty</t>
  </si>
  <si>
    <t>operating hours per year</t>
  </si>
  <si>
    <t>Quarter 1</t>
  </si>
  <si>
    <t>Throughput (% of capacity)</t>
  </si>
  <si>
    <t>Quarter 2</t>
  </si>
  <si>
    <t>Quarter 3</t>
  </si>
  <si>
    <t>Quarter 4</t>
  </si>
  <si>
    <t>TO BE REVISED BY R KOENIG</t>
  </si>
  <si>
    <t>Operating Time</t>
  </si>
  <si>
    <t>Beneficiation Plant</t>
  </si>
  <si>
    <t>Calcining Plant</t>
  </si>
  <si>
    <t>Crushing/Magnetic Separation</t>
  </si>
  <si>
    <t>Grade (% MgO)</t>
  </si>
  <si>
    <t>% MgO</t>
  </si>
  <si>
    <t>Total Rejects from ROM Ore</t>
  </si>
  <si>
    <t>Dilution Rejects</t>
  </si>
  <si>
    <t>of mined hard magnesite</t>
  </si>
  <si>
    <t xml:space="preserve">    equivalent to </t>
  </si>
  <si>
    <t>of ROM Ore</t>
  </si>
  <si>
    <t>Notional Annual Production</t>
  </si>
  <si>
    <t>Beneficiation Plant Feed</t>
  </si>
  <si>
    <t>Beneficiation Plant Rejects</t>
  </si>
  <si>
    <t>Beneficiation Plant Product</t>
  </si>
  <si>
    <t>Calcined Magnesia</t>
  </si>
  <si>
    <t xml:space="preserve">    Grade (% MgO)</t>
  </si>
  <si>
    <t>Beneficiation</t>
  </si>
  <si>
    <t>Minesite Product</t>
  </si>
  <si>
    <t>Minesite Product Trucked</t>
  </si>
  <si>
    <t>Losses in Transit (dmt)</t>
  </si>
  <si>
    <t>Tonnes Loaded (dmt)</t>
  </si>
  <si>
    <t>Tonnes Delivered (dmt)</t>
  </si>
  <si>
    <t>Minesite Product Losses in Transit</t>
  </si>
  <si>
    <t>Minesite Product Grade</t>
  </si>
  <si>
    <t>on trucks</t>
  </si>
  <si>
    <t>Grade Delivered(% MgO)</t>
  </si>
  <si>
    <t>Calcining Feed Moisture Content</t>
  </si>
  <si>
    <t>Calcining Plant Commissioning</t>
  </si>
  <si>
    <t xml:space="preserve">    Tonnes H20</t>
  </si>
  <si>
    <t xml:space="preserve">    Tonnes CO2</t>
  </si>
  <si>
    <t>Calcining Plant Feed</t>
  </si>
  <si>
    <t>Calcining Plant Recovery</t>
  </si>
  <si>
    <t>Calcining Plant Solid Rejects</t>
  </si>
  <si>
    <t>Calcining Plant Solid Rejects Grade</t>
  </si>
  <si>
    <t>Calcined Magnesia Shipped</t>
  </si>
  <si>
    <t>Calcining Plant Product</t>
  </si>
  <si>
    <t>Tonnes Loaded (wmt)</t>
  </si>
  <si>
    <t>BENEFICIATION PLANT PRODUCT SCHEDULE (dmt)</t>
  </si>
  <si>
    <t>BENEFICIATION PLANT FEED SCHEDULE (dmt)</t>
  </si>
  <si>
    <t>ROM STOCKPILE COMPONENTS (dmt)</t>
  </si>
  <si>
    <t>on ROM Pad and Beneficiated Product Stockpile</t>
  </si>
  <si>
    <t>Ore Tonnes (dmt)</t>
  </si>
  <si>
    <t>Ore Grade (% MgO)</t>
  </si>
  <si>
    <t>Ore Volume (bcm)</t>
  </si>
  <si>
    <t>ORE MINING SCHEDULE (bcm)</t>
  </si>
  <si>
    <t>ORE MINING SCHEDULE (dmt)</t>
  </si>
  <si>
    <t>Fresh Waste Volume (bcm)</t>
  </si>
  <si>
    <t>Transition Waste Volume (bcm)</t>
  </si>
  <si>
    <t>Overburden Volume (bcm)</t>
  </si>
  <si>
    <t>PRODUCTION SCHEDULE</t>
  </si>
  <si>
    <t>FRESH WASTE MINING SCHEDULE (bcm)</t>
  </si>
  <si>
    <t>TRANSITIONAL WASTE MINING SCHEDULE (bcm)</t>
  </si>
  <si>
    <t>Volume (bcm)</t>
  </si>
  <si>
    <t>OVERBURDEN MINING SCHEDULE (bcm)</t>
  </si>
  <si>
    <t>Total Waste Volume (bcm)</t>
  </si>
  <si>
    <t>Total Mining Volume (bcm)</t>
  </si>
  <si>
    <t>Rejects Storage</t>
  </si>
  <si>
    <t>Site Infrastructure</t>
  </si>
  <si>
    <t>Off-Site Infrastructure</t>
  </si>
  <si>
    <t>Project Management</t>
  </si>
  <si>
    <t>Feasibility Study</t>
  </si>
  <si>
    <t>Permitting</t>
  </si>
  <si>
    <t>Project Insurance</t>
  </si>
  <si>
    <t>Reclamation Bond</t>
  </si>
  <si>
    <t>Year 11</t>
  </si>
  <si>
    <t>Year 12</t>
  </si>
  <si>
    <t>Year 13</t>
  </si>
  <si>
    <t>Mining Contract Rates</t>
  </si>
  <si>
    <t>Unit</t>
  </si>
  <si>
    <t>Rip</t>
  </si>
  <si>
    <t>D&amp;B</t>
  </si>
  <si>
    <t>L&amp;H</t>
  </si>
  <si>
    <t>bcm</t>
  </si>
  <si>
    <t>Transitional Waste</t>
  </si>
  <si>
    <t>CALCINE PLANT</t>
  </si>
  <si>
    <t>MINE SITE</t>
  </si>
  <si>
    <t>Contract Mining</t>
  </si>
  <si>
    <t>Mine Site</t>
  </si>
  <si>
    <t>Pit Dewatering</t>
  </si>
  <si>
    <t>Calcined Magnesia Sale Price</t>
  </si>
  <si>
    <t>Product Shipped</t>
  </si>
  <si>
    <t>Sales Price</t>
  </si>
  <si>
    <t>Calcined Magnesia ($/dmt)</t>
  </si>
  <si>
    <t>Arthur River 03</t>
  </si>
  <si>
    <t>Tasmanian State Government</t>
  </si>
  <si>
    <t>Tasmanian State Royalty</t>
  </si>
  <si>
    <t>Magnesite Transport</t>
  </si>
  <si>
    <t>Truck Haulage</t>
  </si>
  <si>
    <t>Forestry Levy</t>
  </si>
  <si>
    <t>Truck Loading</t>
  </si>
  <si>
    <t>Calcine Plant</t>
  </si>
  <si>
    <t>Management</t>
  </si>
  <si>
    <t>MAGNESITE TRANSPORT</t>
  </si>
  <si>
    <t>per wmt loaded</t>
  </si>
  <si>
    <t xml:space="preserve">Truck Haulage </t>
  </si>
  <si>
    <t>per wmt hauled</t>
  </si>
  <si>
    <t>Gross Weight on Road</t>
  </si>
  <si>
    <t xml:space="preserve">    Truck and Trailer</t>
  </si>
  <si>
    <t>tonnes</t>
  </si>
  <si>
    <t>TO BE REVISED BY P BENNETT</t>
  </si>
  <si>
    <t xml:space="preserve">    Magnesite</t>
  </si>
  <si>
    <t>wet tonnes</t>
  </si>
  <si>
    <t>per tonne gross, or</t>
  </si>
  <si>
    <t>CONSUMABLES AND POWER SCHEDULE</t>
  </si>
  <si>
    <t>Gas</t>
  </si>
  <si>
    <t>Gas Consumption</t>
  </si>
  <si>
    <t>MJ per tonne magnesia</t>
  </si>
  <si>
    <t>Gas (GJ)</t>
  </si>
  <si>
    <t>Other</t>
  </si>
  <si>
    <t>per GJ</t>
  </si>
  <si>
    <t xml:space="preserve">    Other</t>
  </si>
  <si>
    <t xml:space="preserve">    Gas</t>
  </si>
  <si>
    <t>Diesel (kl)</t>
  </si>
  <si>
    <t>CONSUMABLES</t>
  </si>
  <si>
    <t>POWER</t>
  </si>
  <si>
    <t>Dewatering</t>
  </si>
  <si>
    <t>Crushing</t>
  </si>
  <si>
    <t>Port Latta price as verbally advised by R Koenig, 15/6/11</t>
  </si>
  <si>
    <t>Power Consumption</t>
  </si>
  <si>
    <t>kWh per tonne magnesia</t>
  </si>
  <si>
    <t>Calcining Plant (MWh)</t>
  </si>
  <si>
    <t>Mine Site (MWh)</t>
  </si>
  <si>
    <t xml:space="preserve">    Power</t>
  </si>
  <si>
    <t>Power</t>
  </si>
  <si>
    <t>per kWh</t>
  </si>
  <si>
    <t>Transfer Price</t>
  </si>
  <si>
    <t>per dry tonne of magnesite trucked</t>
  </si>
  <si>
    <t>Notional Transfer Value</t>
  </si>
  <si>
    <t>All Royalties</t>
  </si>
  <si>
    <t>PER TONNE MAGNESIA</t>
  </si>
  <si>
    <t>Quantity</t>
  </si>
  <si>
    <t>Rate</t>
  </si>
  <si>
    <t>Amount</t>
  </si>
  <si>
    <t>Earthworks</t>
  </si>
  <si>
    <t>Civils</t>
  </si>
  <si>
    <t xml:space="preserve">    Clearing and Grubbing</t>
  </si>
  <si>
    <t xml:space="preserve">    Cut and Fill</t>
  </si>
  <si>
    <t>Mechanical/Electrical/Structural</t>
  </si>
  <si>
    <t>item</t>
  </si>
  <si>
    <t>Sustaining Capital</t>
  </si>
  <si>
    <t xml:space="preserve">    Crushing and Magnetic Sep</t>
  </si>
  <si>
    <t xml:space="preserve">    Product Conveying</t>
  </si>
  <si>
    <t xml:space="preserve">    Product Stockpiles</t>
  </si>
  <si>
    <t xml:space="preserve">    Sub Total</t>
  </si>
  <si>
    <t>ha</t>
  </si>
  <si>
    <t xml:space="preserve">    Beneficiation Plant</t>
  </si>
  <si>
    <t>Mobile Plant</t>
  </si>
  <si>
    <t xml:space="preserve">    Cut and Fill Basement</t>
  </si>
  <si>
    <t>m3</t>
  </si>
  <si>
    <t xml:space="preserve">    Settlement Ponds</t>
  </si>
  <si>
    <t xml:space="preserve">    Supply and Place Core</t>
  </si>
  <si>
    <t xml:space="preserve">    Place Wall</t>
  </si>
  <si>
    <t>Mechanical</t>
  </si>
  <si>
    <t>Electrical</t>
  </si>
  <si>
    <t xml:space="preserve">    Rejects Storage</t>
  </si>
  <si>
    <t>Mine Workshop</t>
  </si>
  <si>
    <t>Mine Warehouse and Yard</t>
  </si>
  <si>
    <t>Mine Changehouse</t>
  </si>
  <si>
    <t>Water Storage</t>
  </si>
  <si>
    <t>Septic Storage</t>
  </si>
  <si>
    <t>Electrical Sub Station</t>
  </si>
  <si>
    <t xml:space="preserve">    Site Infrastructure</t>
  </si>
  <si>
    <t xml:space="preserve">    Upgrade Existing</t>
  </si>
  <si>
    <t>Access Road</t>
  </si>
  <si>
    <t xml:space="preserve">    Haul Road Formation</t>
  </si>
  <si>
    <t xml:space="preserve">    Bridges</t>
  </si>
  <si>
    <t xml:space="preserve">    Culverts</t>
  </si>
  <si>
    <t>km</t>
  </si>
  <si>
    <t>TO BE REVISED BY A DALEY</t>
  </si>
  <si>
    <t>Electrical Distribution</t>
  </si>
  <si>
    <t>Mine Office and Equipment</t>
  </si>
  <si>
    <t>Communications</t>
  </si>
  <si>
    <t>Site Roads</t>
  </si>
  <si>
    <t xml:space="preserve">    Off-Site Infrastructure</t>
  </si>
  <si>
    <t>Site Preparation</t>
  </si>
  <si>
    <t xml:space="preserve">    Cut and Fill Hardstand</t>
  </si>
  <si>
    <t>General Site Preparation</t>
  </si>
  <si>
    <t xml:space="preserve">    General Site Preparation</t>
  </si>
  <si>
    <t xml:space="preserve">    Electrical Substation</t>
  </si>
  <si>
    <t xml:space="preserve">    Electrical Distribution</t>
  </si>
  <si>
    <t>Calcining Plant Closure</t>
  </si>
  <si>
    <t>Stockpile Area</t>
  </si>
  <si>
    <t xml:space="preserve">    Stockpile Area</t>
  </si>
  <si>
    <t>Calcimatic Kiln Area</t>
  </si>
  <si>
    <t xml:space="preserve">    Calcimatic Kiln Area</t>
  </si>
  <si>
    <t>Caustic Upgrade Area</t>
  </si>
  <si>
    <t xml:space="preserve">    Caustic Upgrade Area</t>
  </si>
  <si>
    <t>Magnesia Packaging Area</t>
  </si>
  <si>
    <t>Laboratory</t>
  </si>
  <si>
    <t>Office and Equipment</t>
  </si>
  <si>
    <t>Changehouse</t>
  </si>
  <si>
    <t>Security</t>
  </si>
  <si>
    <t xml:space="preserve">    Security Fencing</t>
  </si>
  <si>
    <t>m</t>
  </si>
  <si>
    <t xml:space="preserve">    Security Gates</t>
  </si>
  <si>
    <t>ea</t>
  </si>
  <si>
    <t xml:space="preserve">    Gatehouse</t>
  </si>
  <si>
    <t>Gas Pipeline</t>
  </si>
  <si>
    <t>of installed equipment</t>
  </si>
  <si>
    <t>MINE SITE CAPITAL COST DATA</t>
  </si>
  <si>
    <t>CALCINING PLANT CAPITAL COST DATA</t>
  </si>
  <si>
    <t>Product Road Haulage</t>
  </si>
  <si>
    <t>Shiploading</t>
  </si>
  <si>
    <t>Road Haulage</t>
  </si>
  <si>
    <t>per year (incremental)</t>
  </si>
  <si>
    <t>Calcined Magnesia (dmt)</t>
  </si>
  <si>
    <t>per tonne magnesia delivered to the port</t>
  </si>
  <si>
    <t>PER TONNE CALCINED</t>
  </si>
  <si>
    <t>Mining and Beneficiation</t>
  </si>
  <si>
    <t>Tasmania Magnesite (before tax)</t>
  </si>
  <si>
    <t>Tasmania Magnesite (after tax)</t>
  </si>
  <si>
    <t>Tasmania Magnesite NL</t>
  </si>
  <si>
    <t>kWh/dmt of plant feed</t>
  </si>
  <si>
    <t>Arthur River Project</t>
  </si>
  <si>
    <t>SUMMARY</t>
  </si>
  <si>
    <t>Dayworks</t>
  </si>
  <si>
    <t>Sundry</t>
  </si>
  <si>
    <t>TOTAL</t>
  </si>
  <si>
    <t>Owner</t>
  </si>
  <si>
    <t>Contractor</t>
  </si>
  <si>
    <t>PERSONNEL SCHEDULE (Person-Periods)</t>
  </si>
  <si>
    <t>Plant Operators</t>
  </si>
  <si>
    <t>Fitter Mechanics</t>
  </si>
  <si>
    <t>Auto Electrician</t>
  </si>
  <si>
    <t>Site Manager</t>
  </si>
  <si>
    <t>Storeman</t>
  </si>
  <si>
    <t>Technical Services</t>
  </si>
  <si>
    <t>Geologist</t>
  </si>
  <si>
    <t>Electrician</t>
  </si>
  <si>
    <t>CALCINING PLANT</t>
  </si>
  <si>
    <t>Contractor's Superintendent</t>
  </si>
  <si>
    <t>Surveyor</t>
  </si>
  <si>
    <t>MAGNESITE HAULAGE</t>
  </si>
  <si>
    <t>Contractor's Maintenance</t>
  </si>
  <si>
    <t>Contractor's Operators</t>
  </si>
  <si>
    <t>Contractor's Supervisor</t>
  </si>
  <si>
    <t>Contractors</t>
  </si>
  <si>
    <t>MAGNESIA HAULAGE</t>
  </si>
  <si>
    <t>Diesel Consumption</t>
  </si>
  <si>
    <t>Gas Generation</t>
  </si>
  <si>
    <t>Chargeable to Project</t>
  </si>
  <si>
    <t>TASMANIA MAGNESITE NL INCOME TAX SCHEDULE (Nominal A$'000)</t>
  </si>
  <si>
    <t>Carbon Tax</t>
  </si>
  <si>
    <t>CARBON TAX SCHEDULE (A$'000)</t>
  </si>
  <si>
    <t>MANAGEMENT</t>
  </si>
  <si>
    <t>A Daley, e-mail to S Gemell 31/8/11</t>
  </si>
  <si>
    <t xml:space="preserve">    New Line (Easy Terrain)</t>
  </si>
  <si>
    <t xml:space="preserve">    New Line (Difficult Terrain)</t>
  </si>
  <si>
    <t>A Daley, e-mail to S Gemell 31/8/11 (DISTANCE TO BE CONFIRMED)</t>
  </si>
  <si>
    <t>TO BE REVISED BY COMPLETING PERSONNEL SCHEDULES (R KOENIG OR J CANTERFORD)</t>
  </si>
  <si>
    <t>TO BE REVISED BY S GEMELL</t>
  </si>
  <si>
    <t>Concept PDF, 18/8/11, R Koenig</t>
  </si>
  <si>
    <t>(dmt)</t>
  </si>
  <si>
    <t>CARBON DIOXIDE PRODUCTION SCHEDULE (Tonnes CO2)</t>
  </si>
  <si>
    <t>Grinding &amp; Flotation Area</t>
  </si>
  <si>
    <t xml:space="preserve">    Grinding &amp; Flotation Area</t>
  </si>
  <si>
    <t>Grinding Media</t>
  </si>
  <si>
    <t xml:space="preserve">    Grinding Media</t>
  </si>
  <si>
    <t>Marketing</t>
  </si>
  <si>
    <t>General Administration</t>
  </si>
  <si>
    <t>Insurance</t>
  </si>
  <si>
    <t>Mining Lease Rent</t>
  </si>
  <si>
    <t>ha at</t>
  </si>
  <si>
    <t>per hectare per year</t>
  </si>
  <si>
    <t>Area: TO BE ADVISED. Rate: Mineral Resources Regulations 2006 (SR 2006 No 58), Schedule 3</t>
  </si>
  <si>
    <t>Mine Technical Services</t>
  </si>
  <si>
    <t>Mine Administration</t>
  </si>
  <si>
    <t>Source</t>
  </si>
  <si>
    <t>LABOUR COSTS</t>
  </si>
  <si>
    <t>On Costs</t>
  </si>
  <si>
    <t>Salary</t>
  </si>
  <si>
    <t>Wages</t>
  </si>
  <si>
    <t>Superannuation</t>
  </si>
  <si>
    <t>R Sterling, e-mail to S Gemell, 8/2/10</t>
  </si>
  <si>
    <t>Workers Compensation Insurance</t>
  </si>
  <si>
    <t>Payroll Tax</t>
  </si>
  <si>
    <t>Recruitment/Induction</t>
  </si>
  <si>
    <t>Classification</t>
  </si>
  <si>
    <t>Base</t>
  </si>
  <si>
    <t>Oncost</t>
  </si>
  <si>
    <t>($/yr)</t>
  </si>
  <si>
    <t>GME estimate</t>
  </si>
  <si>
    <t>600ktpaOpex.xls, 28/6/09</t>
  </si>
  <si>
    <t>Leave/Training/Absent, say</t>
  </si>
  <si>
    <t>Processing - Operating</t>
  </si>
  <si>
    <t>Production Foreman</t>
  </si>
  <si>
    <t>Metallurgist</t>
  </si>
  <si>
    <t>Kempfield Grind &amp; Agitation Leach Capex &amp; Opex, p7</t>
  </si>
  <si>
    <t>Shift Foreman</t>
  </si>
  <si>
    <t>Bullion Room Foreman</t>
  </si>
  <si>
    <t>Loader Operator</t>
  </si>
  <si>
    <t>Crushing Plant Operator</t>
  </si>
  <si>
    <t>Process Plant Operator</t>
  </si>
  <si>
    <t>Flotation Plant Operator</t>
  </si>
  <si>
    <t>Bullion Room Operator</t>
  </si>
  <si>
    <t>Chemist</t>
  </si>
  <si>
    <t>Lab Technician</t>
  </si>
  <si>
    <t>Day Crewman</t>
  </si>
  <si>
    <t>Processing - Maintenance</t>
  </si>
  <si>
    <t>Maintenance Superintendent</t>
  </si>
  <si>
    <t>Maintenance Foreman</t>
  </si>
  <si>
    <t>Electrical Foreman</t>
  </si>
  <si>
    <t>IT Instrument Technician</t>
  </si>
  <si>
    <t>Fitter Boilermaker</t>
  </si>
  <si>
    <t>HSE Superintendent</t>
  </si>
  <si>
    <t>Accountant</t>
  </si>
  <si>
    <t>Driver</t>
  </si>
  <si>
    <t>Spare Operator Requirement</t>
  </si>
  <si>
    <t>Nominal Year</t>
  </si>
  <si>
    <t>weeks</t>
  </si>
  <si>
    <t>Annual Leave</t>
  </si>
  <si>
    <t>Training</t>
  </si>
  <si>
    <t>week</t>
  </si>
  <si>
    <t>Absent Sick</t>
  </si>
  <si>
    <t>Effective Year</t>
  </si>
  <si>
    <t>per baseline crew member</t>
  </si>
  <si>
    <t>Light Vehicles</t>
  </si>
  <si>
    <t>Mine Manager</t>
  </si>
  <si>
    <t>USED</t>
  </si>
  <si>
    <t>Clerk/Driver</t>
  </si>
  <si>
    <t>Power Line (22kV)</t>
  </si>
  <si>
    <t>Power Line (22kV Spur)</t>
  </si>
  <si>
    <t>Light Vehicle</t>
  </si>
  <si>
    <t>A Daley, e-mail to S Gemell, 31/8/11</t>
  </si>
  <si>
    <t>PURCHASE</t>
  </si>
  <si>
    <t>Troop Carrier</t>
  </si>
  <si>
    <t>4x4 Motorbike</t>
  </si>
  <si>
    <t>Process Plant</t>
  </si>
  <si>
    <t>Caterpillar 950H FEL</t>
  </si>
  <si>
    <t>Caterpillar IT28 (used)</t>
  </si>
  <si>
    <t>Flatbed Truck (3t) (used)</t>
  </si>
  <si>
    <t>Mine Beneficiation</t>
  </si>
  <si>
    <t>Light Vehicles Under Lease</t>
  </si>
  <si>
    <t>per year: operating, maintenance and lease</t>
  </si>
  <si>
    <t>General Manager</t>
  </si>
  <si>
    <t>Management: A Daley, e-mail to S Gemell, 31/8/11</t>
  </si>
  <si>
    <t>Mngmt</t>
  </si>
  <si>
    <t>Office Assistant</t>
  </si>
  <si>
    <t>Calcine Plant Manager</t>
  </si>
  <si>
    <t>Total Site Costs</t>
  </si>
  <si>
    <t>OPERATING COSTS: MANAGEMENT AND SUMMARY  (2011 A$'000)</t>
  </si>
  <si>
    <t>OPERATING COSTS: MAGNESITE TRANSPORT AND CALCINE PLANT (2011 A$'000)</t>
  </si>
  <si>
    <t>OPERATING COSTS: MINE (2011 A$'000)</t>
  </si>
  <si>
    <t>Environmental Audit</t>
  </si>
  <si>
    <t>OH&amp;S Training and Audit</t>
  </si>
  <si>
    <t>A Daley, e-mail to S Gemell, 31/8/11. Pro rata distribution</t>
  </si>
  <si>
    <t>A Daley, e-mail to S Gemell, 31/8/11. Partially allocated to Communications</t>
  </si>
  <si>
    <t>A Daley, e-mail to S Gemell, 31/8/11. Partial allocation from General Administration</t>
  </si>
  <si>
    <t>of product value per year</t>
  </si>
  <si>
    <t>A Daley, verbal</t>
  </si>
  <si>
    <t>A Daley, verbal, 13/9/11</t>
  </si>
  <si>
    <t>A Daley, verbal instruction, 12/9/11</t>
  </si>
  <si>
    <t>Pit Technician</t>
  </si>
  <si>
    <t xml:space="preserve">    Grade Control</t>
  </si>
  <si>
    <t>Arthur River JC_scc inputs.xls</t>
  </si>
  <si>
    <t>of ore zone</t>
  </si>
  <si>
    <t>Grade Control</t>
  </si>
  <si>
    <t>Drill Hole Spacing (Northing)</t>
  </si>
  <si>
    <t>Drill Hole Spacing (Easting)</t>
  </si>
  <si>
    <t>Drill Hole Declination</t>
  </si>
  <si>
    <t>metres</t>
  </si>
  <si>
    <t>degrees</t>
  </si>
  <si>
    <t>Drill Hole Length</t>
  </si>
  <si>
    <t>Sample Length</t>
  </si>
  <si>
    <t>samples per hole</t>
  </si>
  <si>
    <t>Samples Required</t>
  </si>
  <si>
    <t>Sampling Interval</t>
  </si>
  <si>
    <t>metres down hole</t>
  </si>
  <si>
    <t>vertical metres, or</t>
  </si>
  <si>
    <t>metres downhole</t>
  </si>
  <si>
    <t>Drill Hole Representation</t>
  </si>
  <si>
    <t>bcm of ROM ore</t>
  </si>
  <si>
    <t>Sample Representation</t>
  </si>
  <si>
    <t>Re-Drilling Required</t>
  </si>
  <si>
    <t>Duplicate Samples, etc</t>
  </si>
  <si>
    <t>SUNDRY PHYSICAL SCHEDULES</t>
  </si>
  <si>
    <t>Samples</t>
  </si>
  <si>
    <t>Drilling (metres)</t>
  </si>
  <si>
    <t>Waste Drilling Required</t>
  </si>
  <si>
    <t>Drilling (holes)</t>
  </si>
  <si>
    <t>Drilling Campaigns</t>
  </si>
  <si>
    <t>campaigns per year</t>
  </si>
  <si>
    <t>per campaign</t>
  </si>
  <si>
    <t>S Capp: Grade_Control.docx, 15/9/11</t>
  </si>
  <si>
    <t>per metre</t>
  </si>
  <si>
    <t>Geologist (days)</t>
  </si>
  <si>
    <t>Pit Technician (days)</t>
  </si>
  <si>
    <t>per day, including vehicle</t>
  </si>
  <si>
    <t>per day, including vehicle and computer</t>
  </si>
  <si>
    <t>Drilling (days)</t>
  </si>
  <si>
    <t>Drilling Rate</t>
  </si>
  <si>
    <t>metres per day</t>
  </si>
  <si>
    <t xml:space="preserve">    Assay</t>
  </si>
  <si>
    <t>per sample</t>
  </si>
  <si>
    <t>Geotechnical</t>
  </si>
  <si>
    <t>Survey</t>
  </si>
  <si>
    <t>Geologist Required</t>
  </si>
  <si>
    <t>Pit Technician Required</t>
  </si>
  <si>
    <t>days per month</t>
  </si>
  <si>
    <t>days per campaign, plus</t>
  </si>
  <si>
    <t>MINE TECHNICAL SERVICES</t>
  </si>
  <si>
    <t xml:space="preserve">    Drill Mobilisation</t>
  </si>
  <si>
    <t xml:space="preserve">    Drilling</t>
  </si>
  <si>
    <t xml:space="preserve">    Geologist</t>
  </si>
  <si>
    <t xml:space="preserve">    Pit Technician</t>
  </si>
  <si>
    <t>MINE ADMINISTRATION</t>
  </si>
  <si>
    <t>CONTRACT MINING</t>
  </si>
  <si>
    <t xml:space="preserve">    Mineral Analysis</t>
  </si>
  <si>
    <t>Plant Supervisor</t>
  </si>
  <si>
    <t>Hays Salary Guide 2011</t>
  </si>
  <si>
    <t>GME estimate. TO BE REVISED BY A DALEY</t>
  </si>
  <si>
    <t>Magnesia Transport</t>
  </si>
  <si>
    <t>Container Capacity</t>
  </si>
  <si>
    <t>dry tonnes</t>
  </si>
  <si>
    <t>Shipment</t>
  </si>
  <si>
    <t>containers, or</t>
  </si>
  <si>
    <t>Containers Trucked</t>
  </si>
  <si>
    <t>Containers Shipped</t>
  </si>
  <si>
    <t>Container Movements</t>
  </si>
  <si>
    <t>per year directly to Burnie Port (notional)</t>
  </si>
  <si>
    <t xml:space="preserve">    Directly to Burnie Port</t>
  </si>
  <si>
    <t xml:space="preserve">    To Transit Centre</t>
  </si>
  <si>
    <t>per year to Transit Centre (notional)</t>
  </si>
  <si>
    <t>per tonne magnesia delivered to the port (inc tonnage to Transit Centre)</t>
  </si>
  <si>
    <t>OFF-SITE COST DATA</t>
  </si>
  <si>
    <t>3 October 2011</t>
  </si>
  <si>
    <t>Road Maintenance Levy</t>
  </si>
  <si>
    <t>Wharf Storage</t>
  </si>
  <si>
    <t>Transit Centre Handling</t>
  </si>
  <si>
    <t>Port Charges</t>
  </si>
  <si>
    <t>Product Insurance</t>
  </si>
  <si>
    <t>Management Charges</t>
  </si>
  <si>
    <t>Marketing Agency</t>
  </si>
  <si>
    <t>per container delivered to the Transit Centre</t>
  </si>
  <si>
    <t>I Newman: Arthur River Product Transport, 3/10/11</t>
  </si>
  <si>
    <t xml:space="preserve">    Tiger Bend Bridge</t>
  </si>
  <si>
    <t xml:space="preserve">    Haul Road (Bridge to Farq Rd)</t>
  </si>
  <si>
    <t>P Bennett: Beacon Hill Resources - Proposed Mining &amp; Transport Operation, 20/10/11</t>
  </si>
  <si>
    <t>P Bennett: Beacon Hill Resources - Proposed Mining &amp; Transport Operation, 20/10/11, p8</t>
  </si>
  <si>
    <t xml:space="preserve">    Haul Road (Farq Rd to Pruana Rd)</t>
  </si>
  <si>
    <t xml:space="preserve">    Haul Road (Farq Rd to N Haven)</t>
  </si>
  <si>
    <t>P Bennett: Beacon Hill Resources - Proposed Mining &amp; Transport Operation, 20/10/11, p8. MEUNA OPTION</t>
  </si>
  <si>
    <t>APPENDIX 1:  Mining Costs from P Bennett: Beacon Hill Resources - Proposed Mining &amp; Transport Operation, 20/10/11</t>
  </si>
  <si>
    <t>Plant Foreman</t>
  </si>
  <si>
    <t>ORDER OF MAGNITUDE COST STUDY: CALCINE PRODUCTION ONLY</t>
  </si>
  <si>
    <t>Contract Drill and Blast</t>
  </si>
  <si>
    <t>Drill</t>
  </si>
  <si>
    <t>Blast</t>
  </si>
  <si>
    <t>Financing</t>
  </si>
  <si>
    <t>Profit/Risk Margin</t>
  </si>
  <si>
    <t>COST BENEFIT ANALYSIS OF RAW MAGNESITE PRODUCTION</t>
  </si>
  <si>
    <t>Drill and Blast Ore</t>
  </si>
  <si>
    <t>Load and Haul Ore</t>
  </si>
  <si>
    <t>Drill and Blast Waste</t>
  </si>
  <si>
    <t>Load and Haul Waste</t>
  </si>
  <si>
    <t>Crush and Screen Ore</t>
  </si>
  <si>
    <t>Transport Ore</t>
  </si>
  <si>
    <t>Per Tonne</t>
  </si>
  <si>
    <t>Mined</t>
  </si>
  <si>
    <t>Sold</t>
  </si>
  <si>
    <t>Waste:Ore Ratio</t>
  </si>
  <si>
    <t>:1</t>
  </si>
  <si>
    <t>Screened Rejects</t>
  </si>
  <si>
    <t xml:space="preserve">    Dilution Fines</t>
  </si>
  <si>
    <t xml:space="preserve">    -5mm Product</t>
  </si>
  <si>
    <t xml:space="preserve">    Excavator</t>
  </si>
  <si>
    <t xml:space="preserve">    Truck 1</t>
  </si>
  <si>
    <t xml:space="preserve">    Truck 2</t>
  </si>
  <si>
    <t xml:space="preserve">    Truck 3</t>
  </si>
  <si>
    <t xml:space="preserve">    Dozer</t>
  </si>
  <si>
    <t>Month</t>
  </si>
  <si>
    <t>Hour</t>
  </si>
  <si>
    <t xml:space="preserve">    Excavator Operator</t>
  </si>
  <si>
    <t>Repair &amp; Maintenance</t>
  </si>
  <si>
    <t xml:space="preserve">    Fuel</t>
  </si>
  <si>
    <t xml:space="preserve">    Wear Parts</t>
  </si>
  <si>
    <t>Tonne</t>
  </si>
  <si>
    <t xml:space="preserve">        Sub Total</t>
  </si>
  <si>
    <t xml:space="preserve">        Excavator</t>
  </si>
  <si>
    <t xml:space="preserve">        Truck 1</t>
  </si>
  <si>
    <t xml:space="preserve">        Truck 2</t>
  </si>
  <si>
    <t xml:space="preserve">        Truck 3</t>
  </si>
  <si>
    <t xml:space="preserve">        Dozer</t>
  </si>
  <si>
    <t>Bennett states $1.00/t inc crushing</t>
  </si>
  <si>
    <t>Bennett verbal rate of 9%pa, with GME capex(1 year)/opex(1 month) weighting.</t>
  </si>
  <si>
    <t>Bennett verbal rate</t>
  </si>
  <si>
    <t>Notional Production Rate</t>
  </si>
  <si>
    <t>tonnes of ore and waste per month</t>
  </si>
  <si>
    <t>Contract Load and Haul</t>
  </si>
  <si>
    <t xml:space="preserve">    Financing</t>
  </si>
  <si>
    <t xml:space="preserve">    Profit/Risk Margin</t>
  </si>
  <si>
    <t xml:space="preserve">    Supervisor</t>
  </si>
  <si>
    <t>Contract Load and Haul (Ore and Waste)</t>
  </si>
  <si>
    <t>Crushing and Screening</t>
  </si>
  <si>
    <t>CRUSHING AND SCREENING</t>
  </si>
  <si>
    <t xml:space="preserve">    Plant Supervisor</t>
  </si>
  <si>
    <t>Fitter Mechanic</t>
  </si>
  <si>
    <t xml:space="preserve">    Loader Operator</t>
  </si>
  <si>
    <t xml:space="preserve">    Plant Operator</t>
  </si>
  <si>
    <t xml:space="preserve">    Electrician</t>
  </si>
  <si>
    <t xml:space="preserve">    Fitter Mechanic</t>
  </si>
  <si>
    <t>BCM</t>
  </si>
  <si>
    <t>Crushing and Screening Plant</t>
  </si>
  <si>
    <t xml:space="preserve">    Leave/Training/Absent</t>
  </si>
  <si>
    <t>Leave/Training/Absent</t>
  </si>
  <si>
    <t>OPERATING COST DATA - MINE</t>
  </si>
  <si>
    <t>OPERATING COST DATA - OTHER</t>
  </si>
  <si>
    <t>Unit Cost</t>
  </si>
  <si>
    <t>$/t ore</t>
  </si>
  <si>
    <t>Fuel</t>
  </si>
  <si>
    <t>litre</t>
  </si>
  <si>
    <t>l/hr</t>
  </si>
  <si>
    <t>Lubricants</t>
  </si>
  <si>
    <t>Tyres</t>
  </si>
  <si>
    <t>each</t>
  </si>
  <si>
    <t>hour life</t>
  </si>
  <si>
    <t>GET</t>
  </si>
  <si>
    <t>set</t>
  </si>
  <si>
    <t>Wear Parts</t>
  </si>
  <si>
    <t>annually</t>
  </si>
  <si>
    <t>Wear Parts Freight</t>
  </si>
  <si>
    <t>tonne</t>
  </si>
  <si>
    <t>drum</t>
  </si>
  <si>
    <t>Physicals</t>
  </si>
  <si>
    <t>Plant Throughput</t>
  </si>
  <si>
    <t>tonnes per year</t>
  </si>
  <si>
    <t>FEL Operating Time</t>
  </si>
  <si>
    <t>hours per year</t>
  </si>
  <si>
    <t>Crusher Operating Time</t>
  </si>
  <si>
    <t>Supervision</t>
  </si>
  <si>
    <t>Safety Supplies</t>
  </si>
  <si>
    <t>Office Supplies</t>
  </si>
  <si>
    <t>$/year</t>
  </si>
  <si>
    <t>Loading ROM/Crushed Ore</t>
  </si>
  <si>
    <t>MINE SERVICES</t>
  </si>
  <si>
    <t xml:space="preserve">    Loading ROM/Crushed Ore</t>
  </si>
  <si>
    <t xml:space="preserve">    Crushing and Screening</t>
  </si>
  <si>
    <t>Assay</t>
  </si>
  <si>
    <t>sample</t>
  </si>
  <si>
    <t>CONTRACT SERVICES</t>
  </si>
  <si>
    <t>MAINTENANCE SPARES</t>
  </si>
  <si>
    <t>CONTINGENCY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</si>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</sst>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"/>
    <numFmt numFmtId="165" formatCode="#,##0.0"/>
    <numFmt numFmtId="166" formatCode="0.0%"/>
    <numFmt numFmtId="167" formatCode="&quot;$&quot;#,##0.00"/>
    <numFmt numFmtId="168" formatCode="mmmm\-yy"/>
    <numFmt numFmtId="169" formatCode="&quot;$&quot;#,##0.0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Univers"/>
      <family val="2"/>
    </font>
    <font>
      <sz val="8"/>
      <name val="Arial"/>
      <family val="2"/>
    </font>
    <font>
      <sz val="10"/>
      <name val="Univers"/>
    </font>
    <font>
      <sz val="10"/>
      <name val="Univers"/>
      <family val="2"/>
    </font>
    <font>
      <sz val="10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1" xfId="0" applyFont="1" applyBorder="1"/>
    <xf numFmtId="0" fontId="0" fillId="0" borderId="0" xfId="0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2" fillId="0" borderId="1" xfId="0" applyFont="1" applyBorder="1"/>
    <xf numFmtId="166" fontId="0" fillId="0" borderId="0" xfId="0" applyNumberFormat="1" applyBorder="1"/>
    <xf numFmtId="3" fontId="0" fillId="0" borderId="2" xfId="0" applyNumberFormat="1" applyBorder="1"/>
    <xf numFmtId="0" fontId="2" fillId="0" borderId="0" xfId="0" applyFont="1" applyBorder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1" xfId="0" applyFont="1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1" xfId="0" applyFill="1" applyBorder="1"/>
    <xf numFmtId="0" fontId="1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9" fontId="0" fillId="0" borderId="0" xfId="0" applyNumberFormat="1" applyBorder="1"/>
    <xf numFmtId="164" fontId="0" fillId="0" borderId="3" xfId="0" applyNumberFormat="1" applyBorder="1"/>
    <xf numFmtId="0" fontId="0" fillId="0" borderId="0" xfId="0" applyNumberFormat="1" applyBorder="1"/>
    <xf numFmtId="0" fontId="0" fillId="0" borderId="1" xfId="0" applyBorder="1"/>
    <xf numFmtId="3" fontId="0" fillId="0" borderId="0" xfId="0" applyNumberFormat="1" applyBorder="1"/>
    <xf numFmtId="0" fontId="2" fillId="0" borderId="8" xfId="0" applyFont="1" applyBorder="1"/>
    <xf numFmtId="166" fontId="0" fillId="0" borderId="9" xfId="0" applyNumberFormat="1" applyBorder="1"/>
    <xf numFmtId="0" fontId="0" fillId="0" borderId="9" xfId="0" applyBorder="1"/>
    <xf numFmtId="0" fontId="0" fillId="0" borderId="10" xfId="0" applyBorder="1"/>
    <xf numFmtId="164" fontId="0" fillId="0" borderId="0" xfId="0" applyNumberFormat="1" applyBorder="1"/>
    <xf numFmtId="167" fontId="0" fillId="0" borderId="0" xfId="0" applyNumberFormat="1" applyBorder="1"/>
    <xf numFmtId="0" fontId="0" fillId="0" borderId="11" xfId="0" applyBorder="1"/>
    <xf numFmtId="0" fontId="1" fillId="0" borderId="2" xfId="0" applyFont="1" applyBorder="1"/>
    <xf numFmtId="0" fontId="3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0" fillId="0" borderId="0" xfId="0" applyNumberFormat="1" applyBorder="1"/>
    <xf numFmtId="0" fontId="2" fillId="0" borderId="11" xfId="0" applyFont="1" applyBorder="1"/>
    <xf numFmtId="0" fontId="2" fillId="0" borderId="3" xfId="0" applyFont="1" applyBorder="1" applyAlignment="1"/>
    <xf numFmtId="0" fontId="0" fillId="0" borderId="8" xfId="0" applyBorder="1"/>
    <xf numFmtId="3" fontId="0" fillId="0" borderId="5" xfId="0" applyNumberFormat="1" applyBorder="1"/>
    <xf numFmtId="3" fontId="0" fillId="0" borderId="1" xfId="0" applyNumberFormat="1" applyBorder="1"/>
    <xf numFmtId="3" fontId="0" fillId="0" borderId="9" xfId="0" applyNumberFormat="1" applyBorder="1"/>
    <xf numFmtId="3" fontId="0" fillId="0" borderId="3" xfId="0" applyNumberFormat="1" applyBorder="1"/>
    <xf numFmtId="168" fontId="1" fillId="0" borderId="0" xfId="0" applyNumberFormat="1" applyFont="1" applyAlignment="1">
      <alignment horizontal="center"/>
    </xf>
    <xf numFmtId="166" fontId="1" fillId="2" borderId="0" xfId="0" applyNumberFormat="1" applyFont="1" applyFill="1" applyBorder="1"/>
    <xf numFmtId="0" fontId="1" fillId="3" borderId="0" xfId="0" applyFont="1" applyFill="1"/>
    <xf numFmtId="0" fontId="2" fillId="3" borderId="0" xfId="0" applyFont="1" applyFill="1"/>
    <xf numFmtId="0" fontId="1" fillId="0" borderId="2" xfId="0" applyFont="1" applyBorder="1" applyAlignment="1">
      <alignment horizontal="center"/>
    </xf>
    <xf numFmtId="3" fontId="1" fillId="2" borderId="0" xfId="0" applyNumberFormat="1" applyFont="1" applyFill="1" applyBorder="1"/>
    <xf numFmtId="3" fontId="1" fillId="2" borderId="2" xfId="0" applyNumberFormat="1" applyFont="1" applyFill="1" applyBorder="1"/>
    <xf numFmtId="0" fontId="1" fillId="0" borderId="11" xfId="0" applyFont="1" applyBorder="1"/>
    <xf numFmtId="3" fontId="1" fillId="0" borderId="3" xfId="0" applyNumberFormat="1" applyFont="1" applyFill="1" applyBorder="1"/>
    <xf numFmtId="0" fontId="1" fillId="0" borderId="6" xfId="0" applyFont="1" applyBorder="1" applyAlignment="1">
      <alignment horizontal="center"/>
    </xf>
    <xf numFmtId="3" fontId="1" fillId="0" borderId="9" xfId="0" applyNumberFormat="1" applyFont="1" applyFill="1" applyBorder="1"/>
    <xf numFmtId="0" fontId="1" fillId="0" borderId="10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 applyProtection="1"/>
    <xf numFmtId="1" fontId="0" fillId="0" borderId="2" xfId="0" applyNumberFormat="1" applyBorder="1"/>
    <xf numFmtId="0" fontId="0" fillId="0" borderId="2" xfId="0" applyBorder="1" applyAlignment="1" applyProtection="1"/>
    <xf numFmtId="0" fontId="0" fillId="0" borderId="3" xfId="0" applyFill="1" applyBorder="1"/>
    <xf numFmtId="3" fontId="0" fillId="0" borderId="0" xfId="0" quotePrefix="1" applyNumberFormat="1" applyBorder="1" applyAlignment="1"/>
    <xf numFmtId="3" fontId="0" fillId="0" borderId="0" xfId="0" applyNumberFormat="1" applyBorder="1" applyAlignment="1"/>
    <xf numFmtId="1" fontId="0" fillId="0" borderId="0" xfId="0" applyNumberFormat="1" applyBorder="1"/>
    <xf numFmtId="3" fontId="0" fillId="0" borderId="0" xfId="0" applyNumberFormat="1" applyBorder="1" applyProtection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0" fillId="0" borderId="0" xfId="0" applyNumberFormat="1" applyBorder="1"/>
    <xf numFmtId="0" fontId="1" fillId="2" borderId="5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3" fontId="2" fillId="0" borderId="2" xfId="0" applyNumberFormat="1" applyFont="1" applyBorder="1"/>
    <xf numFmtId="0" fontId="2" fillId="0" borderId="0" xfId="0" applyFont="1"/>
    <xf numFmtId="4" fontId="0" fillId="0" borderId="2" xfId="0" applyNumberFormat="1" applyBorder="1"/>
    <xf numFmtId="0" fontId="2" fillId="0" borderId="2" xfId="0" applyFont="1" applyBorder="1" applyAlignment="1"/>
    <xf numFmtId="0" fontId="0" fillId="3" borderId="0" xfId="0" applyFill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 applyBorder="1"/>
    <xf numFmtId="0" fontId="1" fillId="0" borderId="5" xfId="0" applyFont="1" applyBorder="1"/>
    <xf numFmtId="3" fontId="0" fillId="0" borderId="11" xfId="0" applyNumberFormat="1" applyBorder="1"/>
    <xf numFmtId="0" fontId="2" fillId="0" borderId="0" xfId="0" applyFont="1" applyFill="1" applyBorder="1"/>
    <xf numFmtId="3" fontId="1" fillId="4" borderId="0" xfId="0" applyNumberFormat="1" applyFont="1" applyFill="1" applyBorder="1"/>
    <xf numFmtId="3" fontId="1" fillId="4" borderId="2" xfId="0" applyNumberFormat="1" applyFont="1" applyFill="1" applyBorder="1"/>
    <xf numFmtId="0" fontId="4" fillId="0" borderId="0" xfId="0" applyFont="1" applyBorder="1"/>
    <xf numFmtId="0" fontId="0" fillId="0" borderId="9" xfId="0" applyFill="1" applyBorder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9" xfId="0" applyFont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3" fontId="0" fillId="0" borderId="0" xfId="0" applyNumberFormat="1" applyFill="1" applyBorder="1"/>
    <xf numFmtId="3" fontId="2" fillId="0" borderId="2" xfId="0" applyNumberFormat="1" applyFont="1" applyBorder="1" applyAlignment="1" applyProtection="1"/>
    <xf numFmtId="0" fontId="2" fillId="0" borderId="2" xfId="0" applyFont="1" applyFill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4" borderId="0" xfId="0" applyNumberFormat="1" applyFont="1" applyFill="1" applyBorder="1"/>
    <xf numFmtId="164" fontId="0" fillId="0" borderId="9" xfId="0" applyNumberFormat="1" applyBorder="1"/>
    <xf numFmtId="164" fontId="1" fillId="4" borderId="2" xfId="0" applyNumberFormat="1" applyFont="1" applyFill="1" applyBorder="1"/>
    <xf numFmtId="167" fontId="0" fillId="0" borderId="2" xfId="0" applyNumberFormat="1" applyBorder="1"/>
    <xf numFmtId="164" fontId="0" fillId="0" borderId="2" xfId="0" applyNumberFormat="1" applyBorder="1"/>
    <xf numFmtId="164" fontId="1" fillId="0" borderId="2" xfId="0" applyNumberFormat="1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3" fontId="1" fillId="0" borderId="0" xfId="0" applyNumberFormat="1" applyFont="1" applyBorder="1"/>
    <xf numFmtId="0" fontId="1" fillId="0" borderId="2" xfId="0" applyFont="1" applyFill="1" applyBorder="1" applyAlignment="1"/>
    <xf numFmtId="0" fontId="0" fillId="0" borderId="2" xfId="0" applyFill="1" applyBorder="1" applyAlignment="1"/>
    <xf numFmtId="3" fontId="2" fillId="0" borderId="3" xfId="0" applyNumberFormat="1" applyFont="1" applyFill="1" applyBorder="1"/>
    <xf numFmtId="3" fontId="2" fillId="0" borderId="9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0" fontId="4" fillId="0" borderId="11" xfId="0" applyFont="1" applyBorder="1" applyAlignment="1"/>
    <xf numFmtId="0" fontId="0" fillId="0" borderId="2" xfId="0" applyBorder="1" applyAlignment="1"/>
    <xf numFmtId="0" fontId="6" fillId="0" borderId="2" xfId="0" applyFont="1" applyBorder="1"/>
    <xf numFmtId="3" fontId="7" fillId="0" borderId="5" xfId="0" applyNumberFormat="1" applyFont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3" fontId="7" fillId="0" borderId="0" xfId="0" applyNumberFormat="1" applyFont="1" applyBorder="1"/>
    <xf numFmtId="3" fontId="3" fillId="0" borderId="0" xfId="0" quotePrefix="1" applyNumberFormat="1" applyFont="1" applyBorder="1" applyAlignment="1"/>
    <xf numFmtId="3" fontId="3" fillId="0" borderId="2" xfId="0" applyNumberFormat="1" applyFont="1" applyBorder="1"/>
    <xf numFmtId="0" fontId="2" fillId="0" borderId="2" xfId="0" applyFont="1" applyBorder="1" applyAlignment="1" applyProtection="1"/>
    <xf numFmtId="3" fontId="1" fillId="4" borderId="0" xfId="0" quotePrefix="1" applyNumberFormat="1" applyFont="1" applyFill="1" applyBorder="1" applyAlignment="1"/>
    <xf numFmtId="0" fontId="2" fillId="0" borderId="0" xfId="0" quotePrefix="1" applyFont="1"/>
    <xf numFmtId="0" fontId="0" fillId="0" borderId="12" xfId="0" applyBorder="1"/>
    <xf numFmtId="0" fontId="1" fillId="0" borderId="13" xfId="0" applyFont="1" applyBorder="1" applyAlignment="1"/>
    <xf numFmtId="0" fontId="0" fillId="0" borderId="13" xfId="0" applyBorder="1"/>
    <xf numFmtId="0" fontId="0" fillId="0" borderId="1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0" fillId="0" borderId="7" xfId="0" applyNumberFormat="1" applyBorder="1"/>
    <xf numFmtId="0" fontId="0" fillId="0" borderId="2" xfId="0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0" fillId="0" borderId="2" xfId="0" applyFill="1" applyBorder="1" applyAlignment="1">
      <alignment horizontal="center"/>
    </xf>
    <xf numFmtId="165" fontId="0" fillId="0" borderId="7" xfId="0" applyNumberFormat="1" applyBorder="1"/>
    <xf numFmtId="165" fontId="1" fillId="2" borderId="0" xfId="0" applyNumberFormat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3" fontId="1" fillId="4" borderId="7" xfId="0" applyNumberFormat="1" applyFont="1" applyFill="1" applyBorder="1"/>
    <xf numFmtId="165" fontId="1" fillId="4" borderId="0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1" fillId="4" borderId="1" xfId="0" applyNumberFormat="1" applyFont="1" applyFill="1" applyBorder="1"/>
    <xf numFmtId="165" fontId="1" fillId="2" borderId="7" xfId="0" applyNumberFormat="1" applyFont="1" applyFill="1" applyBorder="1"/>
    <xf numFmtId="165" fontId="1" fillId="4" borderId="7" xfId="0" applyNumberFormat="1" applyFont="1" applyFill="1" applyBorder="1"/>
    <xf numFmtId="0" fontId="1" fillId="0" borderId="4" xfId="0" applyFont="1" applyBorder="1"/>
    <xf numFmtId="3" fontId="0" fillId="0" borderId="6" xfId="0" applyNumberFormat="1" applyBorder="1"/>
    <xf numFmtId="0" fontId="1" fillId="0" borderId="14" xfId="0" applyFont="1" applyBorder="1" applyAlignment="1"/>
    <xf numFmtId="3" fontId="0" fillId="0" borderId="4" xfId="0" applyNumberFormat="1" applyBorder="1"/>
    <xf numFmtId="0" fontId="2" fillId="4" borderId="11" xfId="0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166" fontId="0" fillId="0" borderId="2" xfId="0" applyNumberFormat="1" applyBorder="1"/>
    <xf numFmtId="4" fontId="0" fillId="0" borderId="3" xfId="0" applyNumberFormat="1" applyBorder="1"/>
    <xf numFmtId="0" fontId="2" fillId="4" borderId="3" xfId="0" applyFont="1" applyFill="1" applyBorder="1"/>
    <xf numFmtId="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5" xfId="0" applyFont="1" applyFill="1" applyBorder="1"/>
    <xf numFmtId="0" fontId="2" fillId="4" borderId="15" xfId="0" applyFont="1" applyFill="1" applyBorder="1" applyAlignment="1">
      <alignment horizontal="center"/>
    </xf>
    <xf numFmtId="0" fontId="2" fillId="0" borderId="15" xfId="0" applyFont="1" applyBorder="1"/>
    <xf numFmtId="9" fontId="0" fillId="0" borderId="15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4" borderId="0" xfId="0" applyNumberFormat="1" applyFont="1" applyFill="1" applyBorder="1"/>
    <xf numFmtId="166" fontId="1" fillId="4" borderId="2" xfId="0" applyNumberFormat="1" applyFont="1" applyFill="1" applyBorder="1"/>
    <xf numFmtId="166" fontId="1" fillId="4" borderId="7" xfId="0" applyNumberFormat="1" applyFont="1" applyFill="1" applyBorder="1"/>
    <xf numFmtId="167" fontId="0" fillId="0" borderId="3" xfId="0" applyNumberFormat="1" applyBorder="1"/>
    <xf numFmtId="167" fontId="2" fillId="0" borderId="2" xfId="0" applyNumberFormat="1" applyFont="1" applyBorder="1"/>
    <xf numFmtId="167" fontId="2" fillId="0" borderId="3" xfId="0" applyNumberFormat="1" applyFont="1" applyBorder="1"/>
    <xf numFmtId="166" fontId="0" fillId="0" borderId="5" xfId="0" applyNumberFormat="1" applyBorder="1"/>
    <xf numFmtId="169" fontId="0" fillId="0" borderId="0" xfId="0" applyNumberFormat="1" applyBorder="1"/>
    <xf numFmtId="0" fontId="1" fillId="0" borderId="2" xfId="0" applyFont="1" applyFill="1" applyBorder="1"/>
    <xf numFmtId="166" fontId="2" fillId="4" borderId="15" xfId="0" applyNumberFormat="1" applyFont="1" applyFill="1" applyBorder="1" applyAlignment="1">
      <alignment horizontal="center"/>
    </xf>
    <xf numFmtId="0" fontId="1" fillId="4" borderId="0" xfId="0" applyFont="1" applyFill="1" applyBorder="1"/>
    <xf numFmtId="3" fontId="2" fillId="0" borderId="7" xfId="0" applyNumberFormat="1" applyFont="1" applyBorder="1"/>
    <xf numFmtId="166" fontId="2" fillId="0" borderId="2" xfId="0" applyNumberFormat="1" applyFont="1" applyBorder="1" applyAlignment="1">
      <alignment horizontal="center"/>
    </xf>
    <xf numFmtId="0" fontId="2" fillId="4" borderId="2" xfId="0" applyFont="1" applyFill="1" applyBorder="1"/>
    <xf numFmtId="3" fontId="0" fillId="4" borderId="2" xfId="0" applyNumberFormat="1" applyFill="1" applyBorder="1"/>
    <xf numFmtId="0" fontId="0" fillId="4" borderId="2" xfId="0" applyFill="1" applyBorder="1"/>
    <xf numFmtId="166" fontId="0" fillId="4" borderId="2" xfId="0" applyNumberFormat="1" applyFill="1" applyBorder="1"/>
    <xf numFmtId="166" fontId="0" fillId="0" borderId="3" xfId="0" applyNumberFormat="1" applyBorder="1"/>
    <xf numFmtId="0" fontId="2" fillId="0" borderId="1" xfId="0" applyFont="1" applyFill="1" applyBorder="1"/>
    <xf numFmtId="0" fontId="0" fillId="0" borderId="0" xfId="0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0" fillId="0" borderId="7" xfId="0" applyFill="1" applyBorder="1"/>
    <xf numFmtId="166" fontId="0" fillId="0" borderId="1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3" xfId="0" applyFill="1" applyBorder="1"/>
    <xf numFmtId="0" fontId="1" fillId="2" borderId="3" xfId="0" applyFont="1" applyFill="1" applyBorder="1" applyAlignment="1">
      <alignment horizontal="center"/>
    </xf>
    <xf numFmtId="164" fontId="2" fillId="0" borderId="2" xfId="0" applyNumberFormat="1" applyFont="1" applyBorder="1" applyAlignment="1"/>
    <xf numFmtId="2" fontId="0" fillId="0" borderId="0" xfId="0" applyNumberFormat="1" applyBorder="1"/>
    <xf numFmtId="0" fontId="1" fillId="0" borderId="0" xfId="0" applyFont="1" applyFill="1" applyBorder="1"/>
    <xf numFmtId="0" fontId="1" fillId="0" borderId="2" xfId="0" applyFont="1" applyBorder="1" applyAlignment="1"/>
    <xf numFmtId="0" fontId="1" fillId="0" borderId="0" xfId="0" applyFont="1" applyBorder="1" applyAlignment="1"/>
    <xf numFmtId="3" fontId="2" fillId="0" borderId="0" xfId="0" applyNumberFormat="1" applyFont="1" applyBorder="1" applyAlignment="1"/>
    <xf numFmtId="0" fontId="8" fillId="0" borderId="0" xfId="0" applyFont="1" applyBorder="1"/>
    <xf numFmtId="3" fontId="2" fillId="0" borderId="0" xfId="0" applyNumberFormat="1" applyFont="1"/>
    <xf numFmtId="9" fontId="2" fillId="0" borderId="0" xfId="0" applyNumberFormat="1" applyFont="1" applyBorder="1"/>
    <xf numFmtId="0" fontId="0" fillId="0" borderId="7" xfId="0" applyNumberFormat="1" applyBorder="1"/>
    <xf numFmtId="0" fontId="2" fillId="0" borderId="0" xfId="0" applyNumberFormat="1" applyFont="1" applyBorder="1"/>
    <xf numFmtId="0" fontId="0" fillId="0" borderId="9" xfId="0" applyNumberFormat="1" applyBorder="1"/>
    <xf numFmtId="0" fontId="0" fillId="0" borderId="10" xfId="0" applyNumberFormat="1" applyBorder="1"/>
    <xf numFmtId="167" fontId="2" fillId="0" borderId="0" xfId="0" applyNumberFormat="1" applyFont="1" applyBorder="1"/>
    <xf numFmtId="165" fontId="0" fillId="0" borderId="2" xfId="0" applyNumberFormat="1" applyBorder="1"/>
    <xf numFmtId="167" fontId="0" fillId="0" borderId="0" xfId="0" applyNumberFormat="1"/>
    <xf numFmtId="9" fontId="0" fillId="0" borderId="0" xfId="0" applyNumberFormat="1"/>
    <xf numFmtId="0" fontId="1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15" xfId="0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/>
    <xf numFmtId="0" fontId="0" fillId="0" borderId="2" xfId="0" applyFill="1" applyBorder="1" applyAlignment="1">
      <alignment horizontal="left"/>
    </xf>
    <xf numFmtId="167" fontId="0" fillId="0" borderId="2" xfId="0" applyNumberFormat="1" applyBorder="1" applyAlignment="1"/>
    <xf numFmtId="167" fontId="0" fillId="0" borderId="2" xfId="0" applyNumberForma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/>
    <xf numFmtId="0" fontId="0" fillId="0" borderId="2" xfId="0" applyBorder="1" applyAlignment="1">
      <alignment horizontal="left"/>
    </xf>
    <xf numFmtId="0" fontId="0" fillId="0" borderId="2" xfId="0" quotePrefix="1" applyBorder="1" applyAlignment="1"/>
    <xf numFmtId="167" fontId="0" fillId="0" borderId="2" xfId="0" applyNumberFormat="1" applyBorder="1" applyAlignment="1">
      <alignment horizontal="left"/>
    </xf>
    <xf numFmtId="0" fontId="0" fillId="0" borderId="0" xfId="0" quotePrefix="1" applyBorder="1"/>
    <xf numFmtId="0" fontId="0" fillId="0" borderId="0" xfId="0" quotePrefix="1"/>
    <xf numFmtId="164" fontId="2" fillId="0" borderId="0" xfId="0" applyNumberFormat="1" applyFont="1" applyBorder="1" applyAlignment="1"/>
    <xf numFmtId="0" fontId="0" fillId="0" borderId="2" xfId="0" quotePrefix="1" applyBorder="1"/>
    <xf numFmtId="169" fontId="0" fillId="0" borderId="2" xfId="0" applyNumberFormat="1" applyBorder="1" applyAlignment="1">
      <alignment horizontal="left"/>
    </xf>
    <xf numFmtId="0" fontId="0" fillId="0" borderId="1" xfId="0" quotePrefix="1" applyBorder="1"/>
    <xf numFmtId="0" fontId="0" fillId="0" borderId="3" xfId="0" applyBorder="1" applyAlignment="1"/>
    <xf numFmtId="167" fontId="0" fillId="0" borderId="3" xfId="0" applyNumberFormat="1" applyBorder="1" applyAlignment="1">
      <alignment horizontal="left"/>
    </xf>
    <xf numFmtId="0" fontId="2" fillId="0" borderId="4" xfId="0" applyFont="1" applyBorder="1"/>
    <xf numFmtId="164" fontId="2" fillId="0" borderId="5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0" fontId="2" fillId="2" borderId="15" xfId="0" applyFont="1" applyFill="1" applyBorder="1"/>
    <xf numFmtId="164" fontId="0" fillId="0" borderId="2" xfId="0" quotePrefix="1" applyNumberFormat="1" applyBorder="1"/>
    <xf numFmtId="0" fontId="0" fillId="0" borderId="3" xfId="0" quotePrefix="1" applyBorder="1"/>
    <xf numFmtId="164" fontId="0" fillId="0" borderId="11" xfId="0" applyNumberFormat="1" applyBorder="1"/>
    <xf numFmtId="9" fontId="0" fillId="0" borderId="2" xfId="0" applyNumberFormat="1" applyBorder="1"/>
    <xf numFmtId="0" fontId="2" fillId="4" borderId="11" xfId="0" applyFont="1" applyFill="1" applyBorder="1"/>
    <xf numFmtId="0" fontId="2" fillId="4" borderId="15" xfId="0" applyFont="1" applyFill="1" applyBorder="1" applyAlignment="1"/>
    <xf numFmtId="0" fontId="0" fillId="4" borderId="15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workbookViewId="0"/>
  </sheetViews>
  <sheetFormatPr defaultRowHeight="12.75"/>
  <sheetData>
    <row r="1" spans="1:6">
      <c r="A1" s="81" t="s">
        <v>326</v>
      </c>
    </row>
    <row r="10" spans="1:6">
      <c r="F10" s="1" t="s">
        <v>167</v>
      </c>
    </row>
    <row r="12" spans="1:6">
      <c r="F12" s="1" t="s">
        <v>687</v>
      </c>
    </row>
    <row r="14" spans="1:6">
      <c r="F14" t="s">
        <v>9</v>
      </c>
    </row>
    <row r="16" spans="1:6">
      <c r="F16" s="81" t="s">
        <v>454</v>
      </c>
    </row>
    <row r="19" spans="6:7">
      <c r="F19" s="131" t="s">
        <v>668</v>
      </c>
    </row>
    <row r="22" spans="6:7">
      <c r="F22" s="81" t="s">
        <v>108</v>
      </c>
    </row>
    <row r="24" spans="6:7">
      <c r="G24" s="81"/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85" zoomScaleNormal="85" workbookViewId="0">
      <selection activeCell="A12" sqref="A12"/>
    </sheetView>
  </sheetViews>
  <sheetFormatPr defaultRowHeight="12.75"/>
  <cols>
    <col min="1" max="1" width="22.28515625" customWidth="1"/>
  </cols>
  <sheetData>
    <row r="1" spans="1:4">
      <c r="A1" s="1" t="s">
        <v>693</v>
      </c>
      <c r="B1" s="81"/>
    </row>
    <row r="3" spans="1:4">
      <c r="A3" s="81" t="s">
        <v>703</v>
      </c>
      <c r="B3">
        <v>1.5</v>
      </c>
      <c r="C3" s="131" t="s">
        <v>704</v>
      </c>
    </row>
    <row r="4" spans="1:4">
      <c r="A4" s="81" t="s">
        <v>705</v>
      </c>
      <c r="C4" s="131"/>
    </row>
    <row r="5" spans="1:4">
      <c r="A5" s="81" t="s">
        <v>706</v>
      </c>
      <c r="B5" s="222">
        <v>0.1</v>
      </c>
    </row>
    <row r="6" spans="1:4">
      <c r="A6" s="81" t="s">
        <v>707</v>
      </c>
      <c r="B6" s="222">
        <v>0.2</v>
      </c>
    </row>
    <row r="7" spans="1:4">
      <c r="A7" s="81" t="s">
        <v>138</v>
      </c>
      <c r="B7" s="222">
        <f>SUM(B5:B6)</f>
        <v>0.30000000000000004</v>
      </c>
    </row>
    <row r="9" spans="1:4">
      <c r="A9" s="224" t="s">
        <v>700</v>
      </c>
      <c r="B9" s="225" t="s">
        <v>217</v>
      </c>
      <c r="C9" s="225" t="s">
        <v>204</v>
      </c>
      <c r="D9" s="225" t="s">
        <v>186</v>
      </c>
    </row>
    <row r="10" spans="1:4">
      <c r="B10" s="225" t="s">
        <v>701</v>
      </c>
      <c r="C10" s="225" t="s">
        <v>701</v>
      </c>
      <c r="D10" s="225" t="s">
        <v>702</v>
      </c>
    </row>
    <row r="11" spans="1:4">
      <c r="A11" t="s">
        <v>694</v>
      </c>
      <c r="B11" s="221">
        <f>Hazell!C12</f>
        <v>2.3040000000000003</v>
      </c>
      <c r="C11" s="221">
        <f>B11</f>
        <v>2.3040000000000003</v>
      </c>
      <c r="D11" s="221">
        <f>C11/(1-$B$7)</f>
        <v>3.2914285714285718</v>
      </c>
    </row>
    <row r="12" spans="1:4">
      <c r="A12" t="s">
        <v>695</v>
      </c>
    </row>
    <row r="13" spans="1:4">
      <c r="A13" t="s">
        <v>696</v>
      </c>
      <c r="B13" s="221">
        <f>Hazell!C12</f>
        <v>2.3040000000000003</v>
      </c>
      <c r="C13" s="221">
        <f>B13*B3</f>
        <v>3.4560000000000004</v>
      </c>
      <c r="D13" s="221">
        <f>C13/(1-$B$7)</f>
        <v>4.9371428571428577</v>
      </c>
    </row>
    <row r="14" spans="1:4">
      <c r="A14" t="s">
        <v>697</v>
      </c>
    </row>
    <row r="15" spans="1:4">
      <c r="A15" t="s">
        <v>698</v>
      </c>
    </row>
    <row r="16" spans="1:4">
      <c r="A16" t="s">
        <v>699</v>
      </c>
    </row>
    <row r="17" spans="1:1">
      <c r="A17" t="s">
        <v>672</v>
      </c>
    </row>
    <row r="18" spans="1:1">
      <c r="A18" t="s">
        <v>121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zoomScale="85" workbookViewId="0">
      <selection activeCell="B8" sqref="B8"/>
    </sheetView>
  </sheetViews>
  <sheetFormatPr defaultRowHeight="12.75"/>
  <cols>
    <col min="1" max="1" width="30.28515625" customWidth="1"/>
    <col min="2" max="2" width="10.28515625" bestFit="1" customWidth="1"/>
  </cols>
  <sheetData>
    <row r="1" spans="1:10">
      <c r="A1" s="13" t="s">
        <v>0</v>
      </c>
      <c r="B1" s="14"/>
      <c r="C1" s="14"/>
      <c r="D1" s="14"/>
      <c r="E1" s="14"/>
      <c r="F1" s="14"/>
      <c r="G1" s="14"/>
      <c r="H1" s="15"/>
    </row>
    <row r="2" spans="1:10">
      <c r="A2" s="16" t="str">
        <f>Title!$F$10</f>
        <v>ARTHUR RIVER MAGNESITE PROJECT</v>
      </c>
      <c r="B2" s="17"/>
      <c r="C2" s="17"/>
      <c r="D2" s="17"/>
      <c r="E2" s="17"/>
      <c r="F2" s="17"/>
      <c r="G2" s="17"/>
      <c r="H2" s="18"/>
    </row>
    <row r="3" spans="1:10">
      <c r="A3" s="16" t="str">
        <f>Title!$F$12</f>
        <v>ORDER OF MAGNITUDE COST STUDY: CALCINE PRODUCTION ONLY</v>
      </c>
      <c r="B3" s="17"/>
      <c r="C3" s="17"/>
      <c r="D3" s="17"/>
      <c r="E3" s="17"/>
      <c r="F3" s="17"/>
      <c r="G3" s="17"/>
      <c r="H3" s="18"/>
    </row>
    <row r="4" spans="1:10">
      <c r="A4" s="19"/>
      <c r="B4" s="17"/>
      <c r="C4" s="17"/>
      <c r="D4" s="17"/>
      <c r="E4" s="17"/>
      <c r="F4" s="17"/>
      <c r="G4" s="17" t="str">
        <f>Title!$F$19</f>
        <v>3 October 2011</v>
      </c>
      <c r="H4" s="18"/>
    </row>
    <row r="5" spans="1:10">
      <c r="A5" s="20" t="s">
        <v>10</v>
      </c>
      <c r="B5" s="21"/>
      <c r="C5" s="21"/>
      <c r="D5" s="21"/>
      <c r="E5" s="21"/>
      <c r="F5" s="21"/>
      <c r="G5" s="21"/>
      <c r="H5" s="22"/>
    </row>
    <row r="6" spans="1:10">
      <c r="A6" s="30"/>
      <c r="B6" s="4"/>
      <c r="C6" s="4"/>
      <c r="D6" s="4"/>
      <c r="E6" s="4"/>
      <c r="F6" s="4"/>
      <c r="G6" s="4"/>
      <c r="H6" s="26"/>
    </row>
    <row r="7" spans="1:10">
      <c r="A7" s="3" t="s">
        <v>23</v>
      </c>
      <c r="B7" s="4"/>
      <c r="C7" s="4"/>
      <c r="D7" s="4"/>
      <c r="E7" s="4"/>
      <c r="F7" s="4"/>
      <c r="G7" s="4"/>
      <c r="H7" s="26"/>
    </row>
    <row r="8" spans="1:10">
      <c r="A8" s="30" t="s">
        <v>24</v>
      </c>
      <c r="B8" s="76">
        <v>1</v>
      </c>
      <c r="C8" s="4" t="s">
        <v>25</v>
      </c>
      <c r="D8" s="4"/>
      <c r="E8" s="4"/>
      <c r="F8" s="4"/>
      <c r="G8" s="4"/>
      <c r="H8" s="26"/>
    </row>
    <row r="9" spans="1:10">
      <c r="A9" s="30"/>
      <c r="B9" s="76"/>
      <c r="C9" s="4"/>
      <c r="D9" s="4"/>
      <c r="E9" s="4"/>
      <c r="F9" s="4"/>
      <c r="G9" s="4"/>
      <c r="H9" s="26"/>
    </row>
    <row r="10" spans="1:10">
      <c r="A10" s="3" t="s">
        <v>218</v>
      </c>
      <c r="B10" s="76"/>
      <c r="C10" s="4"/>
      <c r="D10" s="4"/>
      <c r="E10" s="4"/>
      <c r="F10" s="4"/>
      <c r="G10" s="4"/>
      <c r="H10" s="26"/>
    </row>
    <row r="11" spans="1:10">
      <c r="A11" s="9" t="s">
        <v>172</v>
      </c>
      <c r="B11" s="27">
        <v>0.1</v>
      </c>
      <c r="C11" s="12" t="s">
        <v>250</v>
      </c>
      <c r="D11" s="4"/>
      <c r="E11" s="4"/>
      <c r="F11" s="4"/>
      <c r="G11" s="4"/>
      <c r="H11" s="26"/>
      <c r="J11" s="81" t="s">
        <v>227</v>
      </c>
    </row>
    <row r="12" spans="1:10">
      <c r="A12" s="9" t="s">
        <v>251</v>
      </c>
      <c r="B12" s="27">
        <f>Resource!C63*B11*B48/Resource!L63</f>
        <v>8.8878139693695346E-2</v>
      </c>
      <c r="C12" s="12" t="s">
        <v>252</v>
      </c>
      <c r="D12" s="4"/>
      <c r="E12" s="4"/>
      <c r="F12" s="4"/>
      <c r="G12" s="4"/>
      <c r="H12" s="26"/>
      <c r="J12" s="81"/>
    </row>
    <row r="13" spans="1:10">
      <c r="A13" s="9" t="s">
        <v>249</v>
      </c>
      <c r="B13" s="27">
        <f>(Resource!H63+Resource!J63)/Resource!L63</f>
        <v>0.11707221375057515</v>
      </c>
      <c r="C13" s="12"/>
      <c r="D13" s="4"/>
      <c r="E13" s="4"/>
      <c r="F13" s="4"/>
      <c r="G13" s="4"/>
      <c r="H13" s="26"/>
      <c r="J13" s="81"/>
    </row>
    <row r="14" spans="1:10">
      <c r="A14" s="9" t="s">
        <v>248</v>
      </c>
      <c r="B14" s="27">
        <f>SUM(B12:B13)</f>
        <v>0.20595035344427048</v>
      </c>
      <c r="C14" s="4"/>
      <c r="D14" s="4"/>
      <c r="E14" s="4"/>
      <c r="F14" s="4"/>
      <c r="G14" s="4"/>
      <c r="H14" s="26"/>
      <c r="J14" s="81"/>
    </row>
    <row r="15" spans="1:10">
      <c r="A15" s="9" t="s">
        <v>266</v>
      </c>
      <c r="B15" s="27">
        <v>0.95</v>
      </c>
      <c r="C15" s="12" t="s">
        <v>219</v>
      </c>
      <c r="D15" s="4"/>
      <c r="E15" s="4"/>
      <c r="F15" s="4"/>
      <c r="G15" s="4"/>
      <c r="H15" s="26"/>
    </row>
    <row r="16" spans="1:10">
      <c r="A16" s="9" t="s">
        <v>265</v>
      </c>
      <c r="B16" s="10">
        <v>5.0000000000000001E-3</v>
      </c>
      <c r="C16" s="12" t="s">
        <v>225</v>
      </c>
      <c r="D16" s="4"/>
      <c r="E16" s="4"/>
      <c r="F16" s="4"/>
      <c r="G16" s="4"/>
      <c r="H16" s="26"/>
    </row>
    <row r="17" spans="1:10">
      <c r="A17" s="9" t="s">
        <v>274</v>
      </c>
      <c r="B17" s="27">
        <v>0.95</v>
      </c>
      <c r="C17" s="12" t="s">
        <v>220</v>
      </c>
      <c r="D17" s="4"/>
      <c r="E17" s="4"/>
      <c r="F17" s="4"/>
      <c r="G17" s="4"/>
      <c r="H17" s="26"/>
      <c r="J17" s="81" t="s">
        <v>494</v>
      </c>
    </row>
    <row r="18" spans="1:10">
      <c r="A18" s="9" t="s">
        <v>276</v>
      </c>
      <c r="B18" s="10">
        <v>0.7</v>
      </c>
      <c r="C18" s="12" t="s">
        <v>222</v>
      </c>
      <c r="D18" s="4"/>
      <c r="E18" s="4"/>
      <c r="F18" s="4"/>
      <c r="G18" s="4"/>
      <c r="H18" s="26"/>
      <c r="J18" s="81" t="s">
        <v>227</v>
      </c>
    </row>
    <row r="19" spans="1:10">
      <c r="A19" s="9" t="s">
        <v>223</v>
      </c>
      <c r="B19" s="31">
        <v>100000</v>
      </c>
      <c r="C19" s="12" t="s">
        <v>216</v>
      </c>
      <c r="D19" s="4"/>
      <c r="E19" s="4"/>
      <c r="F19" s="4"/>
      <c r="G19" s="4"/>
      <c r="H19" s="26"/>
    </row>
    <row r="20" spans="1:10">
      <c r="A20" s="9" t="s">
        <v>221</v>
      </c>
      <c r="B20" s="10">
        <v>0.95</v>
      </c>
      <c r="C20" s="12" t="s">
        <v>222</v>
      </c>
      <c r="D20" s="4"/>
      <c r="E20" s="4"/>
      <c r="F20" s="4"/>
      <c r="G20" s="4"/>
      <c r="H20" s="26"/>
      <c r="J20" s="81" t="s">
        <v>227</v>
      </c>
    </row>
    <row r="21" spans="1:10">
      <c r="A21" s="30"/>
      <c r="B21" s="76"/>
      <c r="C21" s="4"/>
      <c r="D21" s="4"/>
      <c r="E21" s="4"/>
      <c r="F21" s="4"/>
      <c r="G21" s="4"/>
      <c r="H21" s="26"/>
    </row>
    <row r="22" spans="1:10">
      <c r="A22" s="3" t="s">
        <v>253</v>
      </c>
      <c r="B22" s="76"/>
      <c r="C22" s="4"/>
      <c r="D22" s="4"/>
      <c r="E22" s="4"/>
      <c r="F22" s="4"/>
      <c r="G22" s="4"/>
      <c r="H22" s="26"/>
    </row>
    <row r="23" spans="1:10">
      <c r="A23" s="163" t="s">
        <v>217</v>
      </c>
      <c r="B23" s="164" t="s">
        <v>1</v>
      </c>
      <c r="C23" s="163" t="s">
        <v>2</v>
      </c>
      <c r="D23" s="164" t="s">
        <v>1</v>
      </c>
      <c r="E23" s="4"/>
      <c r="F23" s="4"/>
      <c r="G23" s="4"/>
      <c r="H23" s="26"/>
    </row>
    <row r="24" spans="1:10">
      <c r="A24" s="167"/>
      <c r="B24" s="168" t="s">
        <v>495</v>
      </c>
      <c r="C24" s="169" t="s">
        <v>199</v>
      </c>
      <c r="D24" s="168" t="s">
        <v>224</v>
      </c>
      <c r="E24" s="4"/>
      <c r="F24" s="4"/>
      <c r="G24" s="4"/>
      <c r="H24" s="26"/>
    </row>
    <row r="25" spans="1:10">
      <c r="A25" s="5"/>
      <c r="B25" s="80"/>
      <c r="C25" s="6"/>
      <c r="D25" s="80"/>
      <c r="E25" s="4"/>
      <c r="F25" s="4"/>
      <c r="G25" s="4"/>
      <c r="H25" s="26"/>
    </row>
    <row r="26" spans="1:10">
      <c r="A26" s="5" t="s">
        <v>254</v>
      </c>
      <c r="B26" s="80">
        <f>B28/(1-B14)</f>
        <v>300747.43425942183</v>
      </c>
      <c r="C26" s="165">
        <f>Resource!M63/100</f>
        <v>0.39373015884307039</v>
      </c>
      <c r="D26" s="11">
        <f>B26*C26</f>
        <v>118413.33506260802</v>
      </c>
      <c r="E26" s="4"/>
      <c r="F26" s="4"/>
      <c r="G26" s="4"/>
      <c r="H26" s="26"/>
    </row>
    <row r="27" spans="1:10">
      <c r="A27" s="5" t="s">
        <v>255</v>
      </c>
      <c r="B27" s="80">
        <f>B26-B28</f>
        <v>61939.040383185435</v>
      </c>
      <c r="C27" s="165">
        <f>D27/B27</f>
        <v>0.28916855006129838</v>
      </c>
      <c r="D27" s="80">
        <f>D26-D28</f>
        <v>17910.82249979394</v>
      </c>
      <c r="E27" s="4"/>
      <c r="F27" s="4"/>
      <c r="G27" s="4"/>
      <c r="H27" s="26"/>
    </row>
    <row r="28" spans="1:10">
      <c r="A28" s="5" t="s">
        <v>256</v>
      </c>
      <c r="B28" s="11">
        <f>B30/(1-B16)</f>
        <v>238808.3938762364</v>
      </c>
      <c r="C28" s="165">
        <f>C30</f>
        <v>0.42084999999999995</v>
      </c>
      <c r="D28" s="11">
        <f>B28*C28</f>
        <v>100502.51256281408</v>
      </c>
      <c r="E28" s="4"/>
      <c r="F28" s="4"/>
      <c r="G28" s="4"/>
      <c r="H28" s="26"/>
    </row>
    <row r="29" spans="1:10">
      <c r="A29" s="5" t="s">
        <v>226</v>
      </c>
      <c r="B29" s="80">
        <f>B28-B30</f>
        <v>1194.0419693811855</v>
      </c>
      <c r="C29" s="165">
        <f>D29/B29</f>
        <v>0.42085000000000788</v>
      </c>
      <c r="D29" s="80">
        <f>D28-D30</f>
        <v>502.51256281408132</v>
      </c>
      <c r="E29" s="4"/>
      <c r="F29" s="4"/>
      <c r="G29" s="4"/>
      <c r="H29" s="26"/>
    </row>
    <row r="30" spans="1:10">
      <c r="A30" s="5" t="s">
        <v>273</v>
      </c>
      <c r="B30" s="11">
        <f>D30/C30</f>
        <v>237614.35190685521</v>
      </c>
      <c r="C30" s="165">
        <f>Resource!D63*B15/100</f>
        <v>0.42084999999999995</v>
      </c>
      <c r="D30" s="11">
        <f>D32/B20</f>
        <v>100000</v>
      </c>
      <c r="E30" s="4"/>
      <c r="F30" s="4"/>
      <c r="G30" s="4"/>
      <c r="H30" s="26"/>
    </row>
    <row r="31" spans="1:10">
      <c r="A31" s="5" t="s">
        <v>275</v>
      </c>
      <c r="B31" s="11">
        <f>D31/C31</f>
        <v>7142.8571428571431</v>
      </c>
      <c r="C31" s="165">
        <f>B18</f>
        <v>0.7</v>
      </c>
      <c r="D31" s="11">
        <f>D30-D32</f>
        <v>5000</v>
      </c>
      <c r="E31" s="4"/>
      <c r="F31" s="4"/>
      <c r="G31" s="4"/>
      <c r="H31" s="26"/>
    </row>
    <row r="32" spans="1:10">
      <c r="A32" s="5" t="s">
        <v>257</v>
      </c>
      <c r="B32" s="11">
        <f>B19</f>
        <v>100000</v>
      </c>
      <c r="C32" s="165">
        <f>B20</f>
        <v>0.95</v>
      </c>
      <c r="D32" s="11">
        <f>B32*C32</f>
        <v>95000</v>
      </c>
      <c r="E32" s="4"/>
      <c r="F32" s="4"/>
      <c r="G32" s="4"/>
      <c r="H32" s="26"/>
      <c r="J32" s="81"/>
    </row>
    <row r="33" spans="1:10">
      <c r="A33" s="8"/>
      <c r="B33" s="166"/>
      <c r="C33" s="8"/>
      <c r="D33" s="8"/>
      <c r="E33" s="4"/>
      <c r="F33" s="4"/>
      <c r="G33" s="4"/>
      <c r="H33" s="26"/>
    </row>
    <row r="34" spans="1:10">
      <c r="A34" s="30"/>
      <c r="B34" s="76"/>
      <c r="C34" s="4"/>
      <c r="D34" s="4"/>
      <c r="E34" s="4"/>
      <c r="F34" s="4"/>
      <c r="G34" s="4"/>
      <c r="H34" s="26"/>
    </row>
    <row r="35" spans="1:10">
      <c r="A35" s="3" t="s">
        <v>168</v>
      </c>
      <c r="B35" s="31"/>
      <c r="C35" s="4"/>
      <c r="D35" s="4"/>
      <c r="E35" s="4"/>
      <c r="F35" s="4"/>
      <c r="G35" s="4"/>
      <c r="H35" s="26"/>
    </row>
    <row r="36" spans="1:10">
      <c r="A36" s="9" t="s">
        <v>169</v>
      </c>
      <c r="B36" s="27">
        <v>0.13</v>
      </c>
      <c r="C36" s="12" t="s">
        <v>598</v>
      </c>
      <c r="D36" s="4"/>
      <c r="E36" s="4"/>
      <c r="F36" s="4"/>
      <c r="G36" s="4"/>
      <c r="H36" s="26"/>
      <c r="J36" s="81" t="s">
        <v>597</v>
      </c>
    </row>
    <row r="37" spans="1:10">
      <c r="A37" s="9" t="s">
        <v>170</v>
      </c>
      <c r="B37" s="4">
        <v>2.88</v>
      </c>
      <c r="C37" s="12" t="s">
        <v>137</v>
      </c>
      <c r="D37" s="4"/>
      <c r="E37" s="4"/>
      <c r="F37" s="4"/>
      <c r="G37" s="4"/>
      <c r="H37" s="26"/>
      <c r="J37" s="81" t="s">
        <v>597</v>
      </c>
    </row>
    <row r="38" spans="1:10">
      <c r="A38" s="9" t="s">
        <v>171</v>
      </c>
      <c r="B38" s="4">
        <v>2.88</v>
      </c>
      <c r="C38" s="12" t="s">
        <v>137</v>
      </c>
      <c r="D38" s="4"/>
      <c r="E38" s="4"/>
      <c r="F38" s="4"/>
      <c r="G38" s="4"/>
      <c r="H38" s="26"/>
      <c r="J38" s="81" t="s">
        <v>597</v>
      </c>
    </row>
    <row r="39" spans="1:10">
      <c r="A39" s="9" t="s">
        <v>177</v>
      </c>
      <c r="B39" s="27">
        <v>0.04</v>
      </c>
      <c r="C39" s="12" t="s">
        <v>283</v>
      </c>
      <c r="D39" s="4"/>
      <c r="E39" s="4"/>
      <c r="F39" s="4"/>
      <c r="G39" s="4"/>
      <c r="H39" s="26"/>
    </row>
    <row r="40" spans="1:10">
      <c r="A40" s="30"/>
      <c r="B40" s="4"/>
      <c r="C40" s="4"/>
      <c r="D40" s="4"/>
      <c r="E40" s="4"/>
      <c r="F40" s="4"/>
      <c r="G40" s="4"/>
      <c r="H40" s="26"/>
    </row>
    <row r="41" spans="1:10">
      <c r="A41" s="3" t="s">
        <v>173</v>
      </c>
      <c r="B41" s="4"/>
      <c r="C41" s="4"/>
      <c r="D41" s="4"/>
      <c r="E41" s="4"/>
      <c r="F41" s="4"/>
      <c r="G41" s="4"/>
      <c r="H41" s="26"/>
    </row>
    <row r="42" spans="1:10">
      <c r="A42" s="9" t="s">
        <v>174</v>
      </c>
      <c r="B42" s="45">
        <v>2.1</v>
      </c>
      <c r="C42" s="12" t="s">
        <v>137</v>
      </c>
      <c r="D42" s="4"/>
      <c r="E42" s="4"/>
      <c r="F42" s="4"/>
      <c r="G42" s="4"/>
      <c r="H42" s="26"/>
      <c r="J42" s="81" t="s">
        <v>597</v>
      </c>
    </row>
    <row r="43" spans="1:10">
      <c r="A43" s="9" t="s">
        <v>175</v>
      </c>
      <c r="B43" s="45">
        <v>2.5</v>
      </c>
      <c r="C43" s="12" t="s">
        <v>137</v>
      </c>
      <c r="D43" s="4"/>
      <c r="E43" s="4"/>
      <c r="F43" s="4"/>
      <c r="G43" s="4"/>
      <c r="H43" s="26"/>
      <c r="J43" s="81" t="s">
        <v>597</v>
      </c>
    </row>
    <row r="44" spans="1:10">
      <c r="A44" s="9" t="s">
        <v>176</v>
      </c>
      <c r="B44" s="45">
        <v>2.9</v>
      </c>
      <c r="C44" s="12" t="s">
        <v>137</v>
      </c>
      <c r="D44" s="4"/>
      <c r="E44" s="4"/>
      <c r="F44" s="4"/>
      <c r="G44" s="4"/>
      <c r="H44" s="26"/>
      <c r="J44" s="81" t="s">
        <v>597</v>
      </c>
    </row>
    <row r="45" spans="1:10">
      <c r="A45" s="9" t="s">
        <v>211</v>
      </c>
      <c r="B45" s="76">
        <v>2.95</v>
      </c>
      <c r="C45" s="12" t="s">
        <v>137</v>
      </c>
      <c r="D45" s="4"/>
      <c r="E45" s="4"/>
      <c r="F45" s="4"/>
      <c r="G45" s="4"/>
      <c r="H45" s="26"/>
      <c r="J45" s="81" t="s">
        <v>597</v>
      </c>
    </row>
    <row r="46" spans="1:10">
      <c r="A46" s="30"/>
      <c r="B46" s="4"/>
      <c r="C46" s="4"/>
      <c r="D46" s="4"/>
      <c r="E46" s="4"/>
      <c r="F46" s="4"/>
      <c r="G46" s="4"/>
      <c r="H46" s="26"/>
    </row>
    <row r="47" spans="1:10">
      <c r="A47" s="3" t="s">
        <v>4</v>
      </c>
      <c r="B47" s="76"/>
      <c r="C47" s="4"/>
      <c r="D47" s="4"/>
      <c r="E47" s="4"/>
      <c r="F47" s="4"/>
      <c r="G47" s="4"/>
      <c r="H47" s="26"/>
    </row>
    <row r="48" spans="1:10">
      <c r="A48" s="9" t="s">
        <v>212</v>
      </c>
      <c r="B48" s="27">
        <v>0.95</v>
      </c>
      <c r="C48" s="4"/>
      <c r="D48" s="4"/>
      <c r="E48" s="4"/>
      <c r="F48" s="4"/>
      <c r="G48" s="4"/>
      <c r="H48" s="26"/>
    </row>
    <row r="49" spans="1:10">
      <c r="A49" s="9" t="s">
        <v>213</v>
      </c>
      <c r="B49" s="27">
        <v>0</v>
      </c>
      <c r="C49" s="4"/>
      <c r="D49" s="4"/>
      <c r="E49" s="4"/>
      <c r="F49" s="4"/>
      <c r="G49" s="4"/>
      <c r="H49" s="26"/>
    </row>
    <row r="50" spans="1:10">
      <c r="A50" s="9"/>
      <c r="B50" s="76"/>
      <c r="C50" s="4"/>
      <c r="D50" s="4"/>
      <c r="E50" s="4"/>
      <c r="F50" s="4"/>
      <c r="G50" s="4"/>
      <c r="H50" s="26"/>
    </row>
    <row r="51" spans="1:10">
      <c r="A51" s="3" t="s">
        <v>599</v>
      </c>
      <c r="B51" s="76"/>
      <c r="C51" s="4"/>
      <c r="D51" s="4"/>
      <c r="E51" s="4"/>
      <c r="F51" s="4"/>
      <c r="G51" s="4"/>
      <c r="H51" s="26"/>
    </row>
    <row r="52" spans="1:10">
      <c r="A52" s="9" t="s">
        <v>600</v>
      </c>
      <c r="B52" s="31">
        <v>25</v>
      </c>
      <c r="C52" s="12" t="s">
        <v>603</v>
      </c>
      <c r="D52" s="4"/>
      <c r="E52" s="4"/>
      <c r="F52" s="4"/>
      <c r="G52" s="4"/>
      <c r="H52" s="26"/>
      <c r="J52" s="81" t="s">
        <v>626</v>
      </c>
    </row>
    <row r="53" spans="1:10">
      <c r="A53" s="9" t="s">
        <v>601</v>
      </c>
      <c r="B53" s="31">
        <v>6</v>
      </c>
      <c r="C53" s="12" t="s">
        <v>603</v>
      </c>
      <c r="D53" s="4"/>
      <c r="E53" s="4"/>
      <c r="F53" s="4"/>
      <c r="G53" s="4"/>
      <c r="H53" s="26"/>
      <c r="J53" s="81" t="s">
        <v>626</v>
      </c>
    </row>
    <row r="54" spans="1:10">
      <c r="A54" s="9" t="s">
        <v>602</v>
      </c>
      <c r="B54" s="31">
        <v>60</v>
      </c>
      <c r="C54" s="12" t="s">
        <v>604</v>
      </c>
      <c r="D54" s="4"/>
      <c r="E54" s="4"/>
      <c r="F54" s="4"/>
      <c r="G54" s="4"/>
      <c r="H54" s="26"/>
      <c r="J54" s="81" t="s">
        <v>626</v>
      </c>
    </row>
    <row r="55" spans="1:10">
      <c r="A55" s="9" t="s">
        <v>605</v>
      </c>
      <c r="B55" s="31">
        <v>15</v>
      </c>
      <c r="C55" s="12" t="s">
        <v>603</v>
      </c>
      <c r="D55" s="4"/>
      <c r="E55" s="4"/>
      <c r="F55" s="4"/>
      <c r="G55" s="4"/>
      <c r="H55" s="26"/>
      <c r="J55" s="81" t="s">
        <v>626</v>
      </c>
    </row>
    <row r="56" spans="1:10">
      <c r="A56" s="9" t="s">
        <v>609</v>
      </c>
      <c r="B56" s="31">
        <v>10</v>
      </c>
      <c r="C56" s="90" t="s">
        <v>611</v>
      </c>
      <c r="D56" s="4"/>
      <c r="E56" s="45">
        <f>ROUND(B55/SIN(RADIANS(B54)),1)</f>
        <v>17.3</v>
      </c>
      <c r="F56" s="12" t="s">
        <v>612</v>
      </c>
      <c r="G56" s="4"/>
      <c r="H56" s="26"/>
      <c r="J56" s="81"/>
    </row>
    <row r="57" spans="1:10">
      <c r="A57" s="9" t="s">
        <v>606</v>
      </c>
      <c r="B57" s="45">
        <v>2.5</v>
      </c>
      <c r="C57" s="90" t="s">
        <v>611</v>
      </c>
      <c r="D57" s="4"/>
      <c r="E57" s="45">
        <f>ROUND(2.5/SIN(RADIANS(B54)),1)</f>
        <v>2.9</v>
      </c>
      <c r="F57" s="90" t="s">
        <v>610</v>
      </c>
      <c r="G57" s="4"/>
      <c r="H57" s="26"/>
      <c r="J57" s="81"/>
    </row>
    <row r="58" spans="1:10">
      <c r="A58" s="9" t="s">
        <v>608</v>
      </c>
      <c r="B58" s="31">
        <f>B56/B57</f>
        <v>4</v>
      </c>
      <c r="C58" s="90" t="s">
        <v>607</v>
      </c>
      <c r="D58" s="4"/>
      <c r="E58" s="4"/>
      <c r="F58" s="4"/>
      <c r="G58" s="4"/>
      <c r="H58" s="26"/>
      <c r="J58" s="81"/>
    </row>
    <row r="59" spans="1:10">
      <c r="A59" s="9" t="s">
        <v>621</v>
      </c>
      <c r="B59" s="27">
        <v>0.1</v>
      </c>
      <c r="C59" s="90"/>
      <c r="D59" s="4"/>
      <c r="E59" s="4"/>
      <c r="F59" s="4"/>
      <c r="G59" s="4"/>
      <c r="H59" s="26"/>
      <c r="J59" s="81"/>
    </row>
    <row r="60" spans="1:10">
      <c r="A60" s="9" t="s">
        <v>616</v>
      </c>
      <c r="B60" s="27">
        <v>0.1</v>
      </c>
      <c r="C60" s="90"/>
      <c r="D60" s="4"/>
      <c r="E60" s="4"/>
      <c r="F60" s="4"/>
      <c r="G60" s="4"/>
      <c r="H60" s="26"/>
      <c r="J60" s="81"/>
    </row>
    <row r="61" spans="1:10">
      <c r="A61" s="9" t="s">
        <v>613</v>
      </c>
      <c r="B61" s="2">
        <f>ROUND(B52*B53*B56/(1+B59)*1/(1+B60),0)</f>
        <v>1240</v>
      </c>
      <c r="C61" s="90" t="s">
        <v>614</v>
      </c>
      <c r="D61" s="4"/>
      <c r="E61" s="4"/>
      <c r="F61" s="4"/>
      <c r="G61" s="4"/>
      <c r="H61" s="26"/>
    </row>
    <row r="62" spans="1:10">
      <c r="A62" s="9" t="s">
        <v>617</v>
      </c>
      <c r="B62" s="27">
        <v>0.1</v>
      </c>
      <c r="C62" s="90"/>
      <c r="D62" s="4"/>
      <c r="E62" s="4"/>
      <c r="F62" s="4"/>
      <c r="G62" s="4"/>
      <c r="H62" s="26"/>
    </row>
    <row r="63" spans="1:10">
      <c r="A63" s="9" t="s">
        <v>615</v>
      </c>
      <c r="B63" s="2">
        <f>ROUND(B52*B53*B57/(1+B59)*1/(1+B62),0)</f>
        <v>310</v>
      </c>
      <c r="C63" s="90" t="s">
        <v>614</v>
      </c>
      <c r="D63" s="4"/>
      <c r="E63" s="4"/>
      <c r="F63" s="4"/>
      <c r="G63" s="4"/>
      <c r="H63" s="26"/>
    </row>
    <row r="64" spans="1:10">
      <c r="A64" s="9" t="s">
        <v>633</v>
      </c>
      <c r="B64" s="2">
        <v>210</v>
      </c>
      <c r="C64" s="90" t="s">
        <v>634</v>
      </c>
      <c r="D64" s="4"/>
      <c r="E64" s="4"/>
      <c r="F64" s="4"/>
      <c r="G64" s="4"/>
      <c r="H64" s="26"/>
      <c r="J64" s="81" t="s">
        <v>626</v>
      </c>
    </row>
    <row r="65" spans="1:10">
      <c r="A65" s="9" t="s">
        <v>623</v>
      </c>
      <c r="B65" s="2">
        <v>4</v>
      </c>
      <c r="C65" s="90" t="s">
        <v>624</v>
      </c>
      <c r="D65" s="4"/>
      <c r="E65" s="4"/>
      <c r="F65" s="4"/>
      <c r="G65" s="4"/>
      <c r="H65" s="26"/>
      <c r="J65" s="81" t="s">
        <v>524</v>
      </c>
    </row>
    <row r="66" spans="1:10">
      <c r="A66" s="9" t="s">
        <v>639</v>
      </c>
      <c r="B66" s="213">
        <v>7</v>
      </c>
      <c r="C66" s="213" t="s">
        <v>642</v>
      </c>
      <c r="D66" s="4"/>
      <c r="E66" s="4"/>
      <c r="F66" s="4"/>
      <c r="G66" s="4"/>
      <c r="H66" s="26"/>
      <c r="J66" s="81" t="s">
        <v>626</v>
      </c>
    </row>
    <row r="67" spans="1:10">
      <c r="A67" s="9"/>
      <c r="B67" s="213">
        <v>4</v>
      </c>
      <c r="C67" s="90" t="s">
        <v>641</v>
      </c>
      <c r="D67" s="4"/>
      <c r="E67" s="4"/>
      <c r="F67" s="4"/>
      <c r="G67" s="4"/>
      <c r="H67" s="26"/>
      <c r="J67" s="81" t="s">
        <v>626</v>
      </c>
    </row>
    <row r="68" spans="1:10">
      <c r="A68" s="9" t="s">
        <v>640</v>
      </c>
      <c r="B68" s="2">
        <v>20</v>
      </c>
      <c r="C68" s="90" t="s">
        <v>641</v>
      </c>
      <c r="D68" s="4"/>
      <c r="E68" s="4"/>
      <c r="F68" s="4"/>
      <c r="G68" s="4"/>
      <c r="H68" s="26"/>
      <c r="J68" s="81" t="s">
        <v>626</v>
      </c>
    </row>
    <row r="69" spans="1:10">
      <c r="A69" s="9"/>
      <c r="B69" s="76"/>
      <c r="C69" s="4"/>
      <c r="D69" s="4"/>
      <c r="E69" s="4"/>
      <c r="F69" s="4"/>
      <c r="G69" s="4"/>
      <c r="H69" s="26"/>
    </row>
    <row r="70" spans="1:10">
      <c r="A70" s="3" t="s">
        <v>243</v>
      </c>
      <c r="B70" s="76"/>
      <c r="C70" s="4"/>
      <c r="D70" s="4"/>
      <c r="E70" s="4"/>
      <c r="F70" s="4"/>
      <c r="G70" s="4"/>
      <c r="H70" s="26"/>
    </row>
    <row r="71" spans="1:10">
      <c r="A71" s="9" t="s">
        <v>245</v>
      </c>
      <c r="B71" s="31">
        <v>6500</v>
      </c>
      <c r="C71" s="4" t="s">
        <v>235</v>
      </c>
      <c r="D71" s="4"/>
      <c r="E71" s="4"/>
      <c r="F71" s="4"/>
      <c r="G71" s="4"/>
      <c r="H71" s="26"/>
    </row>
    <row r="72" spans="1:10">
      <c r="A72" s="9" t="s">
        <v>361</v>
      </c>
      <c r="B72" s="31">
        <v>5</v>
      </c>
      <c r="C72" s="12" t="s">
        <v>455</v>
      </c>
      <c r="D72" s="4"/>
      <c r="E72" s="4"/>
      <c r="F72" s="4"/>
      <c r="G72" s="4"/>
      <c r="H72" s="26"/>
      <c r="J72" s="81" t="s">
        <v>524</v>
      </c>
    </row>
    <row r="73" spans="1:10">
      <c r="A73" s="9"/>
      <c r="B73" s="76"/>
      <c r="C73" s="4"/>
      <c r="D73" s="4"/>
      <c r="E73" s="4"/>
      <c r="F73" s="4"/>
      <c r="G73" s="4"/>
      <c r="H73" s="26"/>
    </row>
    <row r="74" spans="1:10">
      <c r="A74" s="3" t="s">
        <v>329</v>
      </c>
      <c r="B74" s="76"/>
      <c r="C74" s="4"/>
      <c r="D74" s="4"/>
      <c r="E74" s="4"/>
      <c r="F74" s="4"/>
      <c r="G74" s="4"/>
      <c r="H74" s="26"/>
    </row>
    <row r="75" spans="1:10">
      <c r="A75" s="9" t="s">
        <v>177</v>
      </c>
      <c r="B75" s="27">
        <v>0.03</v>
      </c>
      <c r="C75" s="12" t="s">
        <v>267</v>
      </c>
      <c r="D75" s="4"/>
      <c r="E75" s="4"/>
      <c r="F75" s="4"/>
      <c r="G75" s="4"/>
      <c r="H75" s="26"/>
    </row>
    <row r="76" spans="1:10">
      <c r="A76" s="9" t="s">
        <v>339</v>
      </c>
      <c r="B76" s="27"/>
      <c r="C76" s="12"/>
      <c r="D76" s="4"/>
      <c r="E76" s="4"/>
      <c r="F76" s="4"/>
      <c r="G76" s="4"/>
      <c r="H76" s="26"/>
    </row>
    <row r="77" spans="1:10">
      <c r="A77" s="9" t="s">
        <v>340</v>
      </c>
      <c r="B77" s="31">
        <v>10</v>
      </c>
      <c r="C77" s="12" t="s">
        <v>341</v>
      </c>
      <c r="D77" s="4"/>
      <c r="E77" s="4"/>
      <c r="F77" s="4"/>
      <c r="G77" s="4"/>
      <c r="H77" s="26"/>
      <c r="J77" s="81" t="s">
        <v>342</v>
      </c>
    </row>
    <row r="78" spans="1:10">
      <c r="A78" s="9" t="s">
        <v>343</v>
      </c>
      <c r="B78" s="31">
        <v>20</v>
      </c>
      <c r="C78" s="12" t="s">
        <v>344</v>
      </c>
      <c r="D78" s="4"/>
      <c r="E78" s="4"/>
      <c r="F78" s="4"/>
      <c r="G78" s="4"/>
      <c r="H78" s="26"/>
      <c r="J78" s="81" t="s">
        <v>342</v>
      </c>
    </row>
    <row r="79" spans="1:10">
      <c r="A79" s="9" t="s">
        <v>138</v>
      </c>
      <c r="B79" s="31">
        <f>SUM(B77:B78)</f>
        <v>30</v>
      </c>
      <c r="C79" s="12" t="s">
        <v>341</v>
      </c>
      <c r="D79" s="4"/>
      <c r="E79" s="4"/>
      <c r="F79" s="4"/>
      <c r="G79" s="4"/>
      <c r="H79" s="26"/>
    </row>
    <row r="80" spans="1:10">
      <c r="A80" s="9"/>
      <c r="B80" s="76"/>
      <c r="C80" s="4"/>
      <c r="D80" s="4"/>
      <c r="E80" s="4"/>
      <c r="F80" s="4"/>
      <c r="G80" s="4"/>
      <c r="H80" s="26"/>
    </row>
    <row r="81" spans="1:10">
      <c r="A81" s="3" t="s">
        <v>244</v>
      </c>
      <c r="B81" s="76"/>
      <c r="C81" s="4"/>
      <c r="D81" s="4"/>
      <c r="E81" s="4"/>
      <c r="F81" s="4"/>
      <c r="G81" s="4"/>
      <c r="H81" s="26"/>
    </row>
    <row r="82" spans="1:10">
      <c r="A82" s="30" t="s">
        <v>234</v>
      </c>
      <c r="B82" s="27">
        <f>8059/(24*365)</f>
        <v>0.91997716894977166</v>
      </c>
      <c r="C82" s="4"/>
      <c r="D82" s="4"/>
      <c r="E82" s="4"/>
      <c r="F82" s="4"/>
      <c r="G82" s="4"/>
      <c r="H82" s="26"/>
      <c r="J82" s="81" t="s">
        <v>241</v>
      </c>
    </row>
    <row r="83" spans="1:10">
      <c r="A83" s="9" t="s">
        <v>242</v>
      </c>
      <c r="B83" s="31">
        <v>8108</v>
      </c>
      <c r="C83" s="4" t="s">
        <v>235</v>
      </c>
      <c r="D83" s="4"/>
      <c r="E83" s="4"/>
      <c r="F83" s="4"/>
      <c r="G83" s="4"/>
      <c r="H83" s="26"/>
      <c r="J83" s="81" t="s">
        <v>241</v>
      </c>
    </row>
    <row r="84" spans="1:10">
      <c r="A84" s="9" t="s">
        <v>269</v>
      </c>
      <c r="B84" s="27">
        <v>0.02</v>
      </c>
      <c r="C84" s="4"/>
      <c r="D84" s="4"/>
      <c r="E84" s="4"/>
      <c r="F84" s="4"/>
      <c r="G84" s="4"/>
      <c r="H84" s="26"/>
      <c r="J84" s="81" t="s">
        <v>241</v>
      </c>
    </row>
    <row r="85" spans="1:10">
      <c r="A85" s="9" t="s">
        <v>348</v>
      </c>
      <c r="B85" s="31">
        <v>12000</v>
      </c>
      <c r="C85" s="12" t="s">
        <v>349</v>
      </c>
      <c r="D85" s="4"/>
      <c r="E85" s="4"/>
      <c r="F85" s="4"/>
      <c r="G85" s="4"/>
      <c r="H85" s="26"/>
      <c r="J85" s="81" t="s">
        <v>241</v>
      </c>
    </row>
    <row r="86" spans="1:10">
      <c r="A86" s="9" t="s">
        <v>361</v>
      </c>
      <c r="B86" s="31">
        <v>200</v>
      </c>
      <c r="C86" s="12" t="s">
        <v>362</v>
      </c>
      <c r="D86" s="4"/>
      <c r="E86" s="4"/>
      <c r="F86" s="4"/>
      <c r="G86" s="4"/>
      <c r="H86" s="26"/>
      <c r="J86" s="81" t="s">
        <v>241</v>
      </c>
    </row>
    <row r="87" spans="1:10">
      <c r="A87" s="9"/>
      <c r="B87" s="27"/>
      <c r="C87" s="4"/>
      <c r="D87" s="4"/>
      <c r="E87" s="4"/>
      <c r="F87" s="4"/>
      <c r="G87" s="4"/>
      <c r="H87" s="26"/>
      <c r="J87" s="81"/>
    </row>
    <row r="88" spans="1:10">
      <c r="A88" s="3" t="s">
        <v>270</v>
      </c>
      <c r="C88" s="4"/>
      <c r="D88" s="4"/>
      <c r="E88" s="4"/>
      <c r="F88" s="4"/>
      <c r="G88" s="4"/>
      <c r="H88" s="26"/>
    </row>
    <row r="89" spans="1:10">
      <c r="A89" s="170"/>
      <c r="B89" s="171" t="s">
        <v>236</v>
      </c>
      <c r="C89" s="171" t="s">
        <v>238</v>
      </c>
      <c r="D89" s="171" t="s">
        <v>239</v>
      </c>
      <c r="E89" s="171" t="s">
        <v>240</v>
      </c>
      <c r="F89" s="171" t="s">
        <v>90</v>
      </c>
      <c r="G89" s="4"/>
      <c r="H89" s="26"/>
    </row>
    <row r="90" spans="1:10">
      <c r="A90" s="172" t="s">
        <v>237</v>
      </c>
      <c r="B90" s="173">
        <v>0.5</v>
      </c>
      <c r="C90" s="173">
        <v>0.75</v>
      </c>
      <c r="D90" s="173">
        <v>0.9</v>
      </c>
      <c r="E90" s="173">
        <v>1</v>
      </c>
      <c r="F90" s="173">
        <f>ROUND(AVERAGE(B90:E90),2)</f>
        <v>0.79</v>
      </c>
      <c r="G90" s="4"/>
      <c r="H90" s="26"/>
      <c r="J90" s="81" t="s">
        <v>524</v>
      </c>
    </row>
    <row r="91" spans="1:10">
      <c r="A91" s="9"/>
      <c r="B91" s="27"/>
      <c r="C91" s="27"/>
      <c r="D91" s="29"/>
      <c r="E91" s="29"/>
      <c r="F91" s="29"/>
      <c r="G91" s="29"/>
      <c r="H91" s="215"/>
    </row>
    <row r="92" spans="1:10">
      <c r="A92" s="3" t="s">
        <v>654</v>
      </c>
      <c r="B92" s="27"/>
      <c r="C92" s="27"/>
      <c r="D92" s="29"/>
      <c r="E92" s="29"/>
      <c r="F92" s="29"/>
      <c r="G92" s="29"/>
      <c r="H92" s="215"/>
    </row>
    <row r="93" spans="1:10">
      <c r="A93" s="9" t="s">
        <v>655</v>
      </c>
      <c r="B93" s="31">
        <v>20</v>
      </c>
      <c r="C93" s="12" t="s">
        <v>656</v>
      </c>
      <c r="D93" s="29"/>
      <c r="E93" s="29"/>
      <c r="F93" s="29"/>
      <c r="G93" s="29"/>
      <c r="H93" s="215"/>
    </row>
    <row r="94" spans="1:10">
      <c r="A94" s="9" t="s">
        <v>661</v>
      </c>
      <c r="B94" s="31">
        <f>B19/B93</f>
        <v>5000</v>
      </c>
      <c r="C94" s="12" t="s">
        <v>18</v>
      </c>
      <c r="D94" s="29"/>
      <c r="E94" s="29"/>
      <c r="F94" s="29"/>
      <c r="G94" s="29"/>
      <c r="H94" s="215"/>
    </row>
    <row r="95" spans="1:10">
      <c r="A95" s="9" t="s">
        <v>659</v>
      </c>
      <c r="B95" s="31">
        <v>1300</v>
      </c>
      <c r="C95" s="12" t="s">
        <v>662</v>
      </c>
      <c r="D95" s="29"/>
      <c r="E95" s="29"/>
      <c r="F95" s="29"/>
      <c r="G95" s="29"/>
      <c r="H95" s="215"/>
      <c r="J95" s="81" t="s">
        <v>677</v>
      </c>
    </row>
    <row r="96" spans="1:10">
      <c r="A96" s="9" t="s">
        <v>659</v>
      </c>
      <c r="B96" s="31">
        <f>B94-B95</f>
        <v>3700</v>
      </c>
      <c r="C96" s="12" t="s">
        <v>665</v>
      </c>
      <c r="D96" s="29"/>
      <c r="E96" s="29"/>
      <c r="F96" s="29"/>
      <c r="G96" s="29"/>
      <c r="H96" s="215"/>
      <c r="J96" s="81"/>
    </row>
    <row r="97" spans="1:10">
      <c r="A97" s="9" t="s">
        <v>657</v>
      </c>
      <c r="B97" s="31">
        <v>450</v>
      </c>
      <c r="C97" s="214" t="s">
        <v>658</v>
      </c>
      <c r="D97" s="29"/>
      <c r="E97" s="31">
        <f>B93*B97</f>
        <v>9000</v>
      </c>
      <c r="F97" s="216" t="s">
        <v>656</v>
      </c>
      <c r="G97" s="29"/>
      <c r="H97" s="215"/>
      <c r="J97" s="81" t="s">
        <v>677</v>
      </c>
    </row>
    <row r="98" spans="1:10">
      <c r="A98" s="9"/>
      <c r="B98" s="27"/>
      <c r="C98" s="27"/>
      <c r="D98" s="29"/>
      <c r="E98" s="29"/>
      <c r="F98" s="29"/>
      <c r="G98" s="29"/>
      <c r="H98" s="215"/>
    </row>
    <row r="99" spans="1:10">
      <c r="A99" s="3" t="s">
        <v>228</v>
      </c>
      <c r="B99" s="4"/>
      <c r="C99" s="4"/>
      <c r="D99" s="29"/>
      <c r="E99" s="29"/>
      <c r="F99" s="29"/>
      <c r="G99" s="29"/>
      <c r="H99" s="215"/>
    </row>
    <row r="100" spans="1:10">
      <c r="A100" s="163" t="s">
        <v>217</v>
      </c>
      <c r="B100" s="164" t="s">
        <v>230</v>
      </c>
      <c r="C100" s="164" t="s">
        <v>1</v>
      </c>
      <c r="D100" s="29"/>
      <c r="E100" s="29"/>
      <c r="F100" s="29"/>
      <c r="G100" s="29"/>
      <c r="H100" s="215"/>
    </row>
    <row r="101" spans="1:10">
      <c r="A101" s="167"/>
      <c r="B101" s="168"/>
      <c r="C101" s="168" t="s">
        <v>3</v>
      </c>
      <c r="D101" s="29"/>
      <c r="E101" s="29"/>
      <c r="F101" s="29"/>
      <c r="G101" s="29"/>
      <c r="H101" s="215"/>
    </row>
    <row r="102" spans="1:10">
      <c r="A102" s="5" t="s">
        <v>229</v>
      </c>
      <c r="B102" s="80" t="s">
        <v>28</v>
      </c>
      <c r="C102" s="11">
        <v>4000</v>
      </c>
      <c r="D102" s="216"/>
      <c r="E102" s="29"/>
      <c r="F102" s="29"/>
      <c r="G102" s="29"/>
      <c r="H102" s="215"/>
    </row>
    <row r="103" spans="1:10">
      <c r="A103" s="5" t="s">
        <v>260</v>
      </c>
      <c r="B103" s="80" t="s">
        <v>28</v>
      </c>
      <c r="C103" s="11">
        <v>2500</v>
      </c>
      <c r="D103" s="216"/>
      <c r="E103" s="29"/>
      <c r="F103" s="29"/>
      <c r="G103" s="29"/>
      <c r="H103" s="215"/>
    </row>
    <row r="104" spans="1:10">
      <c r="A104" s="5" t="s">
        <v>273</v>
      </c>
      <c r="B104" s="80" t="s">
        <v>231</v>
      </c>
      <c r="C104" s="11">
        <v>2500</v>
      </c>
      <c r="D104" s="216"/>
      <c r="E104" s="29"/>
      <c r="F104" s="29"/>
      <c r="G104" s="29"/>
      <c r="H104" s="215"/>
    </row>
    <row r="105" spans="1:10">
      <c r="A105" s="5" t="s">
        <v>278</v>
      </c>
      <c r="B105" s="80" t="s">
        <v>231</v>
      </c>
      <c r="C105" s="11">
        <v>2000</v>
      </c>
      <c r="D105" s="29"/>
      <c r="E105" s="29"/>
      <c r="F105" s="29"/>
      <c r="G105" s="29"/>
      <c r="H105" s="215"/>
    </row>
    <row r="106" spans="1:10">
      <c r="A106" s="5" t="s">
        <v>232</v>
      </c>
      <c r="B106" s="80" t="s">
        <v>233</v>
      </c>
      <c r="C106" s="11">
        <f>E97/2</f>
        <v>4500</v>
      </c>
      <c r="D106" s="29"/>
      <c r="E106" s="29"/>
      <c r="F106" s="29"/>
      <c r="G106" s="29"/>
      <c r="H106" s="215"/>
    </row>
    <row r="107" spans="1:10">
      <c r="A107" s="7"/>
      <c r="B107" s="52"/>
      <c r="C107" s="7"/>
      <c r="D107" s="29"/>
      <c r="E107" s="29"/>
      <c r="F107" s="29"/>
      <c r="G107" s="29"/>
      <c r="H107" s="215"/>
    </row>
    <row r="108" spans="1:10">
      <c r="A108" s="9"/>
      <c r="B108" s="31"/>
      <c r="C108" s="12"/>
      <c r="D108" s="29"/>
      <c r="E108" s="29"/>
      <c r="F108" s="29"/>
      <c r="G108" s="29"/>
      <c r="H108" s="215"/>
    </row>
    <row r="109" spans="1:10">
      <c r="A109" s="48"/>
      <c r="B109" s="34"/>
      <c r="C109" s="34"/>
      <c r="D109" s="217"/>
      <c r="E109" s="217"/>
      <c r="F109" s="217"/>
      <c r="G109" s="217"/>
      <c r="H109" s="218"/>
    </row>
  </sheetData>
  <phoneticPr fontId="5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="85" workbookViewId="0"/>
  </sheetViews>
  <sheetFormatPr defaultRowHeight="12.75"/>
  <cols>
    <col min="1" max="1" width="13.42578125" customWidth="1"/>
    <col min="2" max="3" width="9.140625" customWidth="1"/>
    <col min="5" max="6" width="9.140625" customWidth="1"/>
    <col min="7" max="8" width="9.28515625" bestFit="1" customWidth="1"/>
  </cols>
  <sheetData>
    <row r="1" spans="1:2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1">
      <c r="A2" s="16" t="str">
        <f>Title!$F$10</f>
        <v>ARTHUR RIVER MAGNESITE PROJECT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1:21">
      <c r="A3" s="16" t="str">
        <f>Title!$F$12</f>
        <v>ORDER OF MAGNITUDE COST STUDY: CALCINE PRODUCTION ONLY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>
      <c r="A4" s="19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 t="str">
        <f>Title!$F$19</f>
        <v>3 October 2011</v>
      </c>
      <c r="U4" s="18"/>
    </row>
    <row r="5" spans="1:21">
      <c r="A5" s="20" t="s">
        <v>197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</row>
    <row r="6" spans="1:21">
      <c r="A6" s="38"/>
      <c r="B6" s="132"/>
      <c r="C6" s="133"/>
      <c r="D6" s="144" t="s">
        <v>206</v>
      </c>
      <c r="E6" s="134"/>
      <c r="F6" s="135"/>
      <c r="G6" s="143" t="s">
        <v>210</v>
      </c>
      <c r="H6" s="161"/>
      <c r="I6" s="143" t="s">
        <v>214</v>
      </c>
      <c r="J6" s="161"/>
      <c r="K6" s="132"/>
      <c r="L6" s="133"/>
      <c r="M6" s="144" t="s">
        <v>205</v>
      </c>
      <c r="N6" s="134"/>
      <c r="O6" s="135"/>
      <c r="P6" s="142" t="s">
        <v>207</v>
      </c>
      <c r="Q6" s="135"/>
      <c r="R6" s="142" t="s">
        <v>209</v>
      </c>
      <c r="S6" s="135"/>
      <c r="T6" s="145" t="s">
        <v>208</v>
      </c>
      <c r="U6" s="135"/>
    </row>
    <row r="7" spans="1:21">
      <c r="A7" s="57" t="s">
        <v>198</v>
      </c>
      <c r="B7" s="136" t="s">
        <v>135</v>
      </c>
      <c r="C7" s="41" t="s">
        <v>1</v>
      </c>
      <c r="D7" s="41" t="s">
        <v>2</v>
      </c>
      <c r="E7" s="41" t="s">
        <v>2</v>
      </c>
      <c r="F7" s="62" t="s">
        <v>2</v>
      </c>
      <c r="G7" s="74" t="s">
        <v>135</v>
      </c>
      <c r="H7" s="138" t="s">
        <v>1</v>
      </c>
      <c r="I7" s="74" t="s">
        <v>135</v>
      </c>
      <c r="J7" s="138" t="s">
        <v>1</v>
      </c>
      <c r="K7" s="136" t="s">
        <v>135</v>
      </c>
      <c r="L7" s="41" t="s">
        <v>1</v>
      </c>
      <c r="M7" s="41" t="s">
        <v>2</v>
      </c>
      <c r="N7" s="41" t="s">
        <v>2</v>
      </c>
      <c r="O7" s="62" t="s">
        <v>2</v>
      </c>
      <c r="P7" s="136" t="s">
        <v>135</v>
      </c>
      <c r="Q7" s="62" t="s">
        <v>1</v>
      </c>
      <c r="R7" s="136" t="s">
        <v>135</v>
      </c>
      <c r="S7" s="62" t="s">
        <v>1</v>
      </c>
      <c r="T7" s="137" t="s">
        <v>135</v>
      </c>
      <c r="U7" s="138" t="s">
        <v>1</v>
      </c>
    </row>
    <row r="8" spans="1:21">
      <c r="A8" s="8"/>
      <c r="B8" s="75" t="s">
        <v>136</v>
      </c>
      <c r="C8" s="43" t="s">
        <v>3</v>
      </c>
      <c r="D8" s="43" t="s">
        <v>199</v>
      </c>
      <c r="E8" s="43" t="s">
        <v>200</v>
      </c>
      <c r="F8" s="64" t="s">
        <v>201</v>
      </c>
      <c r="G8" s="75" t="s">
        <v>136</v>
      </c>
      <c r="H8" s="64" t="s">
        <v>3</v>
      </c>
      <c r="I8" s="75" t="s">
        <v>136</v>
      </c>
      <c r="J8" s="64" t="s">
        <v>3</v>
      </c>
      <c r="K8" s="75" t="s">
        <v>136</v>
      </c>
      <c r="L8" s="43" t="s">
        <v>3</v>
      </c>
      <c r="M8" s="43" t="s">
        <v>199</v>
      </c>
      <c r="N8" s="43" t="s">
        <v>200</v>
      </c>
      <c r="O8" s="64" t="s">
        <v>201</v>
      </c>
      <c r="P8" s="75" t="s">
        <v>136</v>
      </c>
      <c r="Q8" s="64" t="s">
        <v>3</v>
      </c>
      <c r="R8" s="75" t="s">
        <v>136</v>
      </c>
      <c r="S8" s="64" t="s">
        <v>3</v>
      </c>
      <c r="T8" s="43" t="s">
        <v>136</v>
      </c>
      <c r="U8" s="64" t="s">
        <v>3</v>
      </c>
    </row>
    <row r="9" spans="1:21">
      <c r="A9" s="3" t="s">
        <v>178</v>
      </c>
      <c r="B9" s="23"/>
      <c r="C9" s="24"/>
      <c r="D9" s="24"/>
      <c r="E9" s="24"/>
      <c r="F9" s="25"/>
      <c r="G9" s="30"/>
      <c r="H9" s="26"/>
      <c r="I9" s="30"/>
      <c r="J9" s="26"/>
      <c r="K9" s="30"/>
      <c r="L9" s="4"/>
      <c r="M9" s="4"/>
      <c r="N9" s="4"/>
      <c r="O9" s="26"/>
      <c r="P9" s="30"/>
      <c r="Q9" s="26"/>
      <c r="R9" s="30"/>
      <c r="S9" s="26"/>
      <c r="T9" s="4"/>
      <c r="U9" s="26"/>
    </row>
    <row r="10" spans="1:21">
      <c r="A10" s="153">
        <v>195</v>
      </c>
      <c r="B10" s="50"/>
      <c r="C10" s="31"/>
      <c r="D10" s="45"/>
      <c r="E10" s="45"/>
      <c r="F10" s="147"/>
      <c r="G10" s="50"/>
      <c r="H10" s="140"/>
      <c r="I10" s="50"/>
      <c r="J10" s="140"/>
      <c r="K10" s="50"/>
      <c r="L10" s="31"/>
      <c r="M10" s="45"/>
      <c r="N10" s="45"/>
      <c r="O10" s="147"/>
      <c r="P10" s="50"/>
      <c r="Q10" s="140"/>
      <c r="R10" s="50"/>
      <c r="S10" s="140"/>
      <c r="T10" s="31"/>
      <c r="U10" s="140"/>
    </row>
    <row r="11" spans="1:21">
      <c r="A11" s="154">
        <v>190</v>
      </c>
      <c r="B11" s="50"/>
      <c r="C11" s="31"/>
      <c r="D11" s="45"/>
      <c r="E11" s="45"/>
      <c r="F11" s="147"/>
      <c r="G11" s="50"/>
      <c r="H11" s="140"/>
      <c r="I11" s="50"/>
      <c r="J11" s="140"/>
      <c r="K11" s="50"/>
      <c r="L11" s="31"/>
      <c r="M11" s="45"/>
      <c r="N11" s="45"/>
      <c r="O11" s="147"/>
      <c r="P11" s="50"/>
      <c r="Q11" s="140"/>
      <c r="R11" s="50"/>
      <c r="S11" s="140"/>
      <c r="T11" s="31"/>
      <c r="U11" s="140"/>
    </row>
    <row r="12" spans="1:21">
      <c r="A12" s="154">
        <v>185</v>
      </c>
      <c r="B12" s="50"/>
      <c r="C12" s="31"/>
      <c r="D12" s="45"/>
      <c r="E12" s="45"/>
      <c r="F12" s="147"/>
      <c r="G12" s="50"/>
      <c r="H12" s="140"/>
      <c r="I12" s="50"/>
      <c r="J12" s="140"/>
      <c r="K12" s="50"/>
      <c r="L12" s="31"/>
      <c r="M12" s="45"/>
      <c r="N12" s="45"/>
      <c r="O12" s="147"/>
      <c r="P12" s="149">
        <f>5*20*180</f>
        <v>18000</v>
      </c>
      <c r="Q12" s="140">
        <f>P12*'Phys Input'!$B$42</f>
        <v>37800</v>
      </c>
      <c r="R12" s="149"/>
      <c r="S12" s="140"/>
      <c r="T12" s="31"/>
      <c r="U12" s="140"/>
    </row>
    <row r="13" spans="1:21">
      <c r="A13" s="154">
        <v>180</v>
      </c>
      <c r="B13" s="50"/>
      <c r="C13" s="31"/>
      <c r="D13" s="45"/>
      <c r="E13" s="45"/>
      <c r="F13" s="147"/>
      <c r="G13" s="50"/>
      <c r="H13" s="140"/>
      <c r="I13" s="50"/>
      <c r="J13" s="140"/>
      <c r="K13" s="50"/>
      <c r="L13" s="31"/>
      <c r="M13" s="45"/>
      <c r="N13" s="45"/>
      <c r="O13" s="147"/>
      <c r="P13" s="149">
        <f>5*40*170</f>
        <v>34000</v>
      </c>
      <c r="Q13" s="140">
        <f>P13*'Phys Input'!$B$42</f>
        <v>71400</v>
      </c>
      <c r="R13" s="149"/>
      <c r="S13" s="140"/>
      <c r="T13" s="31"/>
      <c r="U13" s="140"/>
    </row>
    <row r="14" spans="1:21">
      <c r="A14" s="154">
        <v>175</v>
      </c>
      <c r="B14" s="50"/>
      <c r="C14" s="31"/>
      <c r="D14" s="45"/>
      <c r="E14" s="45"/>
      <c r="F14" s="147"/>
      <c r="G14" s="50"/>
      <c r="H14" s="140"/>
      <c r="I14" s="50"/>
      <c r="J14" s="140"/>
      <c r="K14" s="50"/>
      <c r="L14" s="31"/>
      <c r="M14" s="45"/>
      <c r="N14" s="45"/>
      <c r="O14" s="147"/>
      <c r="P14" s="149">
        <f>5*80*170</f>
        <v>68000</v>
      </c>
      <c r="Q14" s="140">
        <f>P14*'Phys Input'!$B$42</f>
        <v>142800</v>
      </c>
      <c r="R14" s="149">
        <f>5*10*170</f>
        <v>8500</v>
      </c>
      <c r="S14" s="140">
        <f>R14*'Phys Input'!$B$43</f>
        <v>21250</v>
      </c>
      <c r="T14" s="31"/>
      <c r="U14" s="140"/>
    </row>
    <row r="15" spans="1:21">
      <c r="A15" s="154">
        <v>170</v>
      </c>
      <c r="B15" s="50"/>
      <c r="C15" s="31"/>
      <c r="D15" s="45"/>
      <c r="E15" s="45"/>
      <c r="F15" s="147"/>
      <c r="G15" s="50"/>
      <c r="H15" s="140"/>
      <c r="I15" s="50"/>
      <c r="J15" s="140"/>
      <c r="K15" s="50"/>
      <c r="L15" s="31"/>
      <c r="M15" s="45"/>
      <c r="N15" s="45"/>
      <c r="O15" s="147"/>
      <c r="P15" s="149">
        <f>5*120*160</f>
        <v>96000</v>
      </c>
      <c r="Q15" s="140">
        <f>P15*'Phys Input'!$B$42</f>
        <v>201600</v>
      </c>
      <c r="R15" s="149">
        <f>5*10*160</f>
        <v>8000</v>
      </c>
      <c r="S15" s="140">
        <f>R15*'Phys Input'!$B$43</f>
        <v>20000</v>
      </c>
      <c r="T15" s="31"/>
      <c r="U15" s="140"/>
    </row>
    <row r="16" spans="1:21">
      <c r="A16" s="155">
        <v>165</v>
      </c>
      <c r="B16" s="50"/>
      <c r="C16" s="31"/>
      <c r="D16" s="45"/>
      <c r="E16" s="45"/>
      <c r="F16" s="147"/>
      <c r="G16" s="50"/>
      <c r="H16" s="140"/>
      <c r="I16" s="50"/>
      <c r="J16" s="140"/>
      <c r="K16" s="50"/>
      <c r="L16" s="31"/>
      <c r="M16" s="45"/>
      <c r="N16" s="45"/>
      <c r="O16" s="147"/>
      <c r="P16" s="149">
        <f>5*150*160</f>
        <v>120000</v>
      </c>
      <c r="Q16" s="140">
        <f>P16*'Phys Input'!$B$42</f>
        <v>252000</v>
      </c>
      <c r="R16" s="149">
        <f>5*10*160</f>
        <v>8000</v>
      </c>
      <c r="S16" s="140">
        <f>R16*'Phys Input'!$B$43</f>
        <v>20000</v>
      </c>
      <c r="T16" s="31"/>
      <c r="U16" s="140"/>
    </row>
    <row r="17" spans="1:21">
      <c r="A17" s="155">
        <v>160</v>
      </c>
      <c r="B17" s="50"/>
      <c r="C17" s="31"/>
      <c r="D17" s="45"/>
      <c r="E17" s="45"/>
      <c r="F17" s="147"/>
      <c r="G17" s="50"/>
      <c r="H17" s="140"/>
      <c r="I17" s="50"/>
      <c r="J17" s="140"/>
      <c r="K17" s="50"/>
      <c r="L17" s="31"/>
      <c r="M17" s="45"/>
      <c r="N17" s="45"/>
      <c r="O17" s="147"/>
      <c r="P17" s="149">
        <f>5*120*150</f>
        <v>90000</v>
      </c>
      <c r="Q17" s="140">
        <f>P17*'Phys Input'!$B$42</f>
        <v>189000</v>
      </c>
      <c r="R17" s="149">
        <f>5*30*150</f>
        <v>22500</v>
      </c>
      <c r="S17" s="140">
        <f>R17*'Phys Input'!$B$43</f>
        <v>56250</v>
      </c>
      <c r="T17" s="31">
        <f>3*20*150</f>
        <v>9000</v>
      </c>
      <c r="U17" s="140">
        <f>T17*'Phys Input'!$B$44</f>
        <v>26100</v>
      </c>
    </row>
    <row r="18" spans="1:21">
      <c r="A18" s="155">
        <v>155</v>
      </c>
      <c r="B18" s="50">
        <f>3*50*150</f>
        <v>22500</v>
      </c>
      <c r="C18" s="31">
        <f>B18*'Phys Input'!$B$38</f>
        <v>64800</v>
      </c>
      <c r="D18" s="45">
        <v>44.3</v>
      </c>
      <c r="E18" s="45"/>
      <c r="F18" s="147"/>
      <c r="G18" s="149">
        <v>0</v>
      </c>
      <c r="H18" s="140">
        <f>G18*'Phys Input'!$B$45</f>
        <v>0</v>
      </c>
      <c r="I18" s="149">
        <v>0</v>
      </c>
      <c r="J18" s="140">
        <f>I18*'Phys Input'!$B$44</f>
        <v>0</v>
      </c>
      <c r="K18" s="50">
        <f>(B18+G18+I18)*'Phys Input'!$B$48</f>
        <v>21375</v>
      </c>
      <c r="L18" s="31">
        <f>(C18+H18+J18)*'Phys Input'!$B$48</f>
        <v>61560</v>
      </c>
      <c r="M18" s="45">
        <f>C18*D18*'Phys Input'!$B$48/L18</f>
        <v>44.3</v>
      </c>
      <c r="N18" s="45">
        <f>C18*E18*'Phys Input'!$B$48/L18</f>
        <v>0</v>
      </c>
      <c r="O18" s="147">
        <f>C18*F18*'Phys Input'!$B$48/L18</f>
        <v>0</v>
      </c>
      <c r="P18" s="149">
        <f>2*80*150</f>
        <v>24000</v>
      </c>
      <c r="Q18" s="140">
        <f>P18*'Phys Input'!$B$42</f>
        <v>50400</v>
      </c>
      <c r="R18" s="149">
        <f>4*100*150</f>
        <v>60000</v>
      </c>
      <c r="S18" s="140">
        <f>R18*'Phys Input'!$B$43</f>
        <v>150000</v>
      </c>
      <c r="T18" s="31">
        <f>3*70*150</f>
        <v>31500</v>
      </c>
      <c r="U18" s="140">
        <f>T18*'Phys Input'!$B$44</f>
        <v>91350</v>
      </c>
    </row>
    <row r="19" spans="1:21">
      <c r="A19" s="155">
        <v>150</v>
      </c>
      <c r="B19" s="50">
        <f>5*50*140-G19</f>
        <v>31000</v>
      </c>
      <c r="C19" s="31">
        <f>B19*'Phys Input'!$B$38</f>
        <v>89280</v>
      </c>
      <c r="D19" s="45">
        <v>44.3</v>
      </c>
      <c r="E19" s="45"/>
      <c r="F19" s="147"/>
      <c r="G19" s="50">
        <v>4000</v>
      </c>
      <c r="H19" s="140">
        <f>G19*'Phys Input'!$B$45</f>
        <v>11800</v>
      </c>
      <c r="I19" s="149">
        <v>0</v>
      </c>
      <c r="J19" s="140">
        <f>I19*'Phys Input'!$B$44</f>
        <v>0</v>
      </c>
      <c r="K19" s="50">
        <f>(B19+G19+I19)*'Phys Input'!$B$48</f>
        <v>33250</v>
      </c>
      <c r="L19" s="31">
        <f>(C19+H19+J19)*'Phys Input'!$B$48</f>
        <v>96026</v>
      </c>
      <c r="M19" s="45">
        <f>C19*D19*'Phys Input'!$B$48/L19</f>
        <v>39.128452710724169</v>
      </c>
      <c r="N19" s="45">
        <f>C19*E19*'Phys Input'!$B$48/L19</f>
        <v>0</v>
      </c>
      <c r="O19" s="147">
        <f>C19*F19*'Phys Input'!$B$48/L19</f>
        <v>0</v>
      </c>
      <c r="P19" s="50"/>
      <c r="Q19" s="140"/>
      <c r="R19" s="50"/>
      <c r="S19" s="140"/>
      <c r="T19" s="31">
        <f>5*60*140</f>
        <v>42000</v>
      </c>
      <c r="U19" s="140">
        <f>T19*'Phys Input'!$B$44</f>
        <v>121800</v>
      </c>
    </row>
    <row r="20" spans="1:21">
      <c r="A20" s="155">
        <v>145</v>
      </c>
      <c r="B20" s="50">
        <f>5*80*130-G20</f>
        <v>42000</v>
      </c>
      <c r="C20" s="31">
        <f>B20*'Phys Input'!$B$38</f>
        <v>120960</v>
      </c>
      <c r="D20" s="45">
        <v>44.3</v>
      </c>
      <c r="E20" s="45"/>
      <c r="F20" s="147"/>
      <c r="G20" s="50">
        <v>10000</v>
      </c>
      <c r="H20" s="140">
        <f>G20*'Phys Input'!$B$45</f>
        <v>29500</v>
      </c>
      <c r="I20" s="149">
        <v>0</v>
      </c>
      <c r="J20" s="140">
        <f>I20*'Phys Input'!$B$44</f>
        <v>0</v>
      </c>
      <c r="K20" s="50">
        <f>(B20+G20+I20)*'Phys Input'!$B$48</f>
        <v>49400</v>
      </c>
      <c r="L20" s="31">
        <f>(C20+H20+J20)*'Phys Input'!$B$48</f>
        <v>142937</v>
      </c>
      <c r="M20" s="45">
        <f>C20*D20*'Phys Input'!$B$48/L20</f>
        <v>35.614302804732155</v>
      </c>
      <c r="N20" s="45">
        <f>C20*E20*'Phys Input'!$B$48/L20</f>
        <v>0</v>
      </c>
      <c r="O20" s="147">
        <f>C20*F20*'Phys Input'!$B$48/L20</f>
        <v>0</v>
      </c>
      <c r="P20" s="50"/>
      <c r="Q20" s="140"/>
      <c r="R20" s="50"/>
      <c r="S20" s="140"/>
      <c r="T20" s="31">
        <f>5*40*130</f>
        <v>26000</v>
      </c>
      <c r="U20" s="140">
        <f>T20*'Phys Input'!$B$44</f>
        <v>75400</v>
      </c>
    </row>
    <row r="21" spans="1:21">
      <c r="A21" s="155">
        <v>140</v>
      </c>
      <c r="B21" s="50">
        <f>5*80*120-G21</f>
        <v>33000</v>
      </c>
      <c r="C21" s="31">
        <f>B21*'Phys Input'!$B$38</f>
        <v>95040</v>
      </c>
      <c r="D21" s="45">
        <v>44.3</v>
      </c>
      <c r="E21" s="45"/>
      <c r="F21" s="147"/>
      <c r="G21" s="50">
        <v>15000</v>
      </c>
      <c r="H21" s="140">
        <f>G21*'Phys Input'!$B$45</f>
        <v>44250</v>
      </c>
      <c r="I21" s="149">
        <v>0</v>
      </c>
      <c r="J21" s="140">
        <f>I21*'Phys Input'!$B$44</f>
        <v>0</v>
      </c>
      <c r="K21" s="50">
        <f>(B21+G21+I21)*'Phys Input'!$B$48</f>
        <v>45600</v>
      </c>
      <c r="L21" s="31">
        <f>(C21+H21+J21)*'Phys Input'!$B$48</f>
        <v>132325.5</v>
      </c>
      <c r="M21" s="45">
        <f>C21*D21*'Phys Input'!$B$48/L21</f>
        <v>30.226663794960153</v>
      </c>
      <c r="N21" s="45">
        <f>C21*E21*'Phys Input'!$B$48/L21</f>
        <v>0</v>
      </c>
      <c r="O21" s="147">
        <f>C21*F21*'Phys Input'!$B$48/L21</f>
        <v>0</v>
      </c>
      <c r="P21" s="50"/>
      <c r="Q21" s="140"/>
      <c r="R21" s="50"/>
      <c r="S21" s="140"/>
      <c r="T21" s="31">
        <f>5*30*120</f>
        <v>18000</v>
      </c>
      <c r="U21" s="140">
        <f>T21*'Phys Input'!$B$44</f>
        <v>52200</v>
      </c>
    </row>
    <row r="22" spans="1:21">
      <c r="A22" s="155">
        <v>135</v>
      </c>
      <c r="B22" s="50">
        <f>5*80*110-G22</f>
        <v>40000</v>
      </c>
      <c r="C22" s="31">
        <f>B22*'Phys Input'!$B$38</f>
        <v>115200</v>
      </c>
      <c r="D22" s="45">
        <v>44.3</v>
      </c>
      <c r="E22" s="45"/>
      <c r="F22" s="147"/>
      <c r="G22" s="50">
        <v>4000</v>
      </c>
      <c r="H22" s="140">
        <f>G22*'Phys Input'!$B$45</f>
        <v>11800</v>
      </c>
      <c r="I22" s="149">
        <v>0</v>
      </c>
      <c r="J22" s="140">
        <f>I22*'Phys Input'!$B$44</f>
        <v>0</v>
      </c>
      <c r="K22" s="50">
        <f>(B22+G22+I22)*'Phys Input'!$B$48</f>
        <v>41800</v>
      </c>
      <c r="L22" s="31">
        <f>(C22+H22+J22)*'Phys Input'!$B$48</f>
        <v>120650</v>
      </c>
      <c r="M22" s="45">
        <f>C22*D22*'Phys Input'!$B$48/L22</f>
        <v>40.183937007874015</v>
      </c>
      <c r="N22" s="45">
        <f>C22*E22*'Phys Input'!$B$48/L22</f>
        <v>0</v>
      </c>
      <c r="O22" s="147">
        <f>C22*F22*'Phys Input'!$B$48/L22</f>
        <v>0</v>
      </c>
      <c r="P22" s="50"/>
      <c r="Q22" s="140"/>
      <c r="R22" s="50"/>
      <c r="S22" s="140"/>
      <c r="T22" s="31">
        <f>5*20*110</f>
        <v>11000</v>
      </c>
      <c r="U22" s="140">
        <f>T22*'Phys Input'!$B$44</f>
        <v>31900</v>
      </c>
    </row>
    <row r="23" spans="1:21">
      <c r="A23" s="155">
        <v>130</v>
      </c>
      <c r="B23" s="50">
        <f>5*80*100-G23</f>
        <v>38000</v>
      </c>
      <c r="C23" s="31">
        <f>B23*'Phys Input'!$B$38</f>
        <v>109440</v>
      </c>
      <c r="D23" s="45">
        <v>44.3</v>
      </c>
      <c r="E23" s="45"/>
      <c r="F23" s="147"/>
      <c r="G23" s="50">
        <v>2000</v>
      </c>
      <c r="H23" s="140">
        <f>G23*'Phys Input'!$B$45</f>
        <v>5900</v>
      </c>
      <c r="I23" s="149">
        <v>0</v>
      </c>
      <c r="J23" s="140">
        <f>I23*'Phys Input'!$B$44</f>
        <v>0</v>
      </c>
      <c r="K23" s="50">
        <f>(B23+G23+I23)*'Phys Input'!$B$48</f>
        <v>38000</v>
      </c>
      <c r="L23" s="31">
        <f>(C23+H23+J23)*'Phys Input'!$B$48</f>
        <v>109573</v>
      </c>
      <c r="M23" s="45">
        <f>C23*D23*'Phys Input'!$B$48/L23</f>
        <v>42.033917114617644</v>
      </c>
      <c r="N23" s="45">
        <f>C23*E23*'Phys Input'!$B$48/L23</f>
        <v>0</v>
      </c>
      <c r="O23" s="147">
        <f>C23*F23*'Phys Input'!$B$48/L23</f>
        <v>0</v>
      </c>
      <c r="P23" s="50"/>
      <c r="Q23" s="140"/>
      <c r="R23" s="50"/>
      <c r="S23" s="140"/>
      <c r="T23" s="31">
        <f>5*10*100</f>
        <v>5000</v>
      </c>
      <c r="U23" s="140">
        <f>T23*'Phys Input'!$B$44</f>
        <v>14500</v>
      </c>
    </row>
    <row r="24" spans="1:21">
      <c r="A24" s="155">
        <v>125</v>
      </c>
      <c r="B24" s="50">
        <f>5*80*90-G24</f>
        <v>30000</v>
      </c>
      <c r="C24" s="31">
        <f>B24*'Phys Input'!$B$38</f>
        <v>86400</v>
      </c>
      <c r="D24" s="45">
        <v>44.3</v>
      </c>
      <c r="E24" s="45"/>
      <c r="F24" s="147"/>
      <c r="G24" s="50">
        <v>6000</v>
      </c>
      <c r="H24" s="140">
        <f>G24*'Phys Input'!$B$45</f>
        <v>17700</v>
      </c>
      <c r="I24" s="149">
        <v>0</v>
      </c>
      <c r="J24" s="140">
        <f>I24*'Phys Input'!$B$44</f>
        <v>0</v>
      </c>
      <c r="K24" s="50">
        <f>(B24+G24+I24)*'Phys Input'!$B$48</f>
        <v>34200</v>
      </c>
      <c r="L24" s="31">
        <f>(C24+H24+J24)*'Phys Input'!$B$48</f>
        <v>98895</v>
      </c>
      <c r="M24" s="45">
        <f>C24*D24*'Phys Input'!$B$48/L24</f>
        <v>36.767723342939476</v>
      </c>
      <c r="N24" s="45">
        <f>C24*E24*'Phys Input'!$B$48/L24</f>
        <v>0</v>
      </c>
      <c r="O24" s="147">
        <f>C24*F24*'Phys Input'!$B$48/L24</f>
        <v>0</v>
      </c>
      <c r="P24" s="50"/>
      <c r="Q24" s="140"/>
      <c r="R24" s="50"/>
      <c r="S24" s="140"/>
      <c r="T24" s="31"/>
      <c r="U24" s="140"/>
    </row>
    <row r="25" spans="1:21">
      <c r="A25" s="155">
        <v>120</v>
      </c>
      <c r="B25" s="50"/>
      <c r="C25" s="31"/>
      <c r="D25" s="45"/>
      <c r="E25" s="45"/>
      <c r="F25" s="147"/>
      <c r="G25" s="50"/>
      <c r="H25" s="140"/>
      <c r="I25" s="50"/>
      <c r="J25" s="140"/>
      <c r="K25" s="50"/>
      <c r="L25" s="31"/>
      <c r="M25" s="45"/>
      <c r="N25" s="45"/>
      <c r="O25" s="147"/>
      <c r="P25" s="50"/>
      <c r="Q25" s="140"/>
      <c r="R25" s="50"/>
      <c r="S25" s="140"/>
      <c r="T25" s="31"/>
      <c r="U25" s="140"/>
    </row>
    <row r="26" spans="1:21">
      <c r="A26" s="155">
        <v>115</v>
      </c>
      <c r="B26" s="50"/>
      <c r="C26" s="31"/>
      <c r="D26" s="45"/>
      <c r="E26" s="45"/>
      <c r="F26" s="147"/>
      <c r="G26" s="50"/>
      <c r="H26" s="140"/>
      <c r="I26" s="50"/>
      <c r="J26" s="140"/>
      <c r="K26" s="50"/>
      <c r="L26" s="31"/>
      <c r="M26" s="45"/>
      <c r="N26" s="45"/>
      <c r="O26" s="147"/>
      <c r="P26" s="50"/>
      <c r="Q26" s="140"/>
      <c r="R26" s="50"/>
      <c r="S26" s="140"/>
      <c r="T26" s="31"/>
      <c r="U26" s="140"/>
    </row>
    <row r="27" spans="1:21">
      <c r="A27" s="155">
        <v>110</v>
      </c>
      <c r="B27" s="50"/>
      <c r="C27" s="31"/>
      <c r="D27" s="45"/>
      <c r="E27" s="45"/>
      <c r="F27" s="147"/>
      <c r="G27" s="50"/>
      <c r="H27" s="140"/>
      <c r="I27" s="50"/>
      <c r="J27" s="140"/>
      <c r="K27" s="50"/>
      <c r="L27" s="31"/>
      <c r="M27" s="45"/>
      <c r="N27" s="45"/>
      <c r="O27" s="147"/>
      <c r="P27" s="50"/>
      <c r="Q27" s="140"/>
      <c r="R27" s="50"/>
      <c r="S27" s="140"/>
      <c r="T27" s="31"/>
      <c r="U27" s="140"/>
    </row>
    <row r="28" spans="1:21">
      <c r="A28" s="150" t="s">
        <v>80</v>
      </c>
      <c r="B28" s="156">
        <f>SUM(B10:B27)</f>
        <v>236500</v>
      </c>
      <c r="C28" s="91">
        <f>SUM(C10:C27)</f>
        <v>681120</v>
      </c>
      <c r="D28" s="148">
        <f>IF(C28=0,0,SUMPRODUCT(C10:C27,D10:D27)/C28)</f>
        <v>44.3</v>
      </c>
      <c r="E28" s="148">
        <f>IF(D28=0,0,SUMPRODUCT(C10:C27,E10:E27)/C28)</f>
        <v>0</v>
      </c>
      <c r="F28" s="157">
        <f>IF(E28=0,0,SUMPRODUCT(C10:C27,F10:F27)/C28)</f>
        <v>0</v>
      </c>
      <c r="G28" s="156">
        <f t="shared" ref="G28:L28" si="0">SUM(G10:G27)</f>
        <v>41000</v>
      </c>
      <c r="H28" s="151">
        <f t="shared" si="0"/>
        <v>120950</v>
      </c>
      <c r="I28" s="156">
        <f t="shared" si="0"/>
        <v>0</v>
      </c>
      <c r="J28" s="151">
        <f t="shared" si="0"/>
        <v>0</v>
      </c>
      <c r="K28" s="156">
        <f t="shared" si="0"/>
        <v>263625</v>
      </c>
      <c r="L28" s="91">
        <f t="shared" si="0"/>
        <v>761966.5</v>
      </c>
      <c r="M28" s="148">
        <f>IF(L28=0,0,SUMPRODUCT(L10:L27,M10:M27)/L28)</f>
        <v>37.619679080379512</v>
      </c>
      <c r="N28" s="148">
        <f>IF(M28=0,0,SUMPRODUCT(L10:L27,N10:N27)/L28)</f>
        <v>0</v>
      </c>
      <c r="O28" s="157">
        <f>IF(N28=0,0,SUMPRODUCT(L10:L27,O10:O27)/L28)</f>
        <v>0</v>
      </c>
      <c r="P28" s="156">
        <f t="shared" ref="P28:U28" si="1">SUM(P10:P27)</f>
        <v>450000</v>
      </c>
      <c r="Q28" s="151">
        <f t="shared" si="1"/>
        <v>945000</v>
      </c>
      <c r="R28" s="156">
        <f t="shared" si="1"/>
        <v>107000</v>
      </c>
      <c r="S28" s="151">
        <f t="shared" si="1"/>
        <v>267500</v>
      </c>
      <c r="T28" s="91">
        <f t="shared" si="1"/>
        <v>142500</v>
      </c>
      <c r="U28" s="151">
        <f t="shared" si="1"/>
        <v>413250</v>
      </c>
    </row>
    <row r="29" spans="1:21">
      <c r="A29" s="3" t="s">
        <v>179</v>
      </c>
      <c r="B29" s="30"/>
      <c r="C29" s="4"/>
      <c r="D29" s="4"/>
      <c r="E29" s="4"/>
      <c r="F29" s="26"/>
      <c r="G29" s="30"/>
      <c r="H29" s="26"/>
      <c r="I29" s="30"/>
      <c r="J29" s="26"/>
      <c r="K29" s="30"/>
      <c r="L29" s="4"/>
      <c r="M29" s="4"/>
      <c r="N29" s="4"/>
      <c r="O29" s="26"/>
      <c r="P29" s="50"/>
      <c r="Q29" s="140"/>
      <c r="R29" s="50"/>
      <c r="S29" s="140"/>
      <c r="T29" s="31"/>
      <c r="U29" s="140"/>
    </row>
    <row r="30" spans="1:21">
      <c r="A30" s="155">
        <v>150</v>
      </c>
      <c r="B30" s="50"/>
      <c r="C30" s="31"/>
      <c r="D30" s="45"/>
      <c r="E30" s="4"/>
      <c r="F30" s="26"/>
      <c r="G30" s="30"/>
      <c r="H30" s="26"/>
      <c r="I30" s="30"/>
      <c r="J30" s="26"/>
      <c r="K30" s="30"/>
      <c r="L30" s="4"/>
      <c r="M30" s="4"/>
      <c r="N30" s="4"/>
      <c r="O30" s="26"/>
      <c r="P30" s="50"/>
      <c r="Q30" s="140"/>
      <c r="R30" s="50"/>
      <c r="S30" s="140"/>
      <c r="T30" s="31"/>
      <c r="U30" s="140"/>
    </row>
    <row r="31" spans="1:21">
      <c r="A31" s="155">
        <v>145</v>
      </c>
      <c r="B31" s="50"/>
      <c r="C31" s="31"/>
      <c r="D31" s="45"/>
      <c r="E31" s="4"/>
      <c r="F31" s="26"/>
      <c r="G31" s="30"/>
      <c r="H31" s="26"/>
      <c r="I31" s="30"/>
      <c r="J31" s="26"/>
      <c r="K31" s="30"/>
      <c r="L31" s="4"/>
      <c r="M31" s="4"/>
      <c r="N31" s="4"/>
      <c r="O31" s="26"/>
      <c r="P31" s="50"/>
      <c r="Q31" s="140"/>
      <c r="R31" s="50"/>
      <c r="S31" s="140"/>
      <c r="T31" s="31"/>
      <c r="U31" s="140"/>
    </row>
    <row r="32" spans="1:21">
      <c r="A32" s="155">
        <v>140</v>
      </c>
      <c r="B32" s="50"/>
      <c r="C32" s="31"/>
      <c r="D32" s="45"/>
      <c r="E32" s="4"/>
      <c r="F32" s="26"/>
      <c r="G32" s="30"/>
      <c r="H32" s="26"/>
      <c r="I32" s="30"/>
      <c r="J32" s="26"/>
      <c r="K32" s="30"/>
      <c r="L32" s="4"/>
      <c r="M32" s="4"/>
      <c r="N32" s="4"/>
      <c r="O32" s="26"/>
      <c r="P32" s="50"/>
      <c r="Q32" s="140"/>
      <c r="R32" s="50"/>
      <c r="S32" s="140"/>
      <c r="T32" s="31"/>
      <c r="U32" s="140"/>
    </row>
    <row r="33" spans="1:21">
      <c r="A33" s="155">
        <v>135</v>
      </c>
      <c r="B33" s="50"/>
      <c r="C33" s="31"/>
      <c r="D33" s="45"/>
      <c r="E33" s="4"/>
      <c r="F33" s="26"/>
      <c r="G33" s="30"/>
      <c r="H33" s="26"/>
      <c r="I33" s="30"/>
      <c r="J33" s="26"/>
      <c r="K33" s="30"/>
      <c r="L33" s="4"/>
      <c r="M33" s="4"/>
      <c r="N33" s="4"/>
      <c r="O33" s="26"/>
      <c r="P33" s="50">
        <v>20000</v>
      </c>
      <c r="Q33" s="140">
        <f>P33*'Phys Input'!$B$42</f>
        <v>42000</v>
      </c>
      <c r="R33" s="50"/>
      <c r="S33" s="140"/>
      <c r="T33" s="31"/>
      <c r="U33" s="140"/>
    </row>
    <row r="34" spans="1:21">
      <c r="A34" s="155">
        <v>130</v>
      </c>
      <c r="B34" s="50"/>
      <c r="C34" s="31"/>
      <c r="D34" s="45"/>
      <c r="E34" s="4"/>
      <c r="F34" s="26"/>
      <c r="G34" s="50"/>
      <c r="H34" s="140"/>
      <c r="I34" s="149"/>
      <c r="J34" s="140"/>
      <c r="K34" s="50"/>
      <c r="L34" s="31"/>
      <c r="M34" s="45"/>
      <c r="N34" s="45"/>
      <c r="O34" s="147"/>
      <c r="P34" s="50">
        <f>5*160*210</f>
        <v>168000</v>
      </c>
      <c r="Q34" s="140">
        <f>P34*'Phys Input'!$B$42</f>
        <v>352800</v>
      </c>
      <c r="R34" s="50">
        <v>15000</v>
      </c>
      <c r="S34" s="140">
        <f>R34*'Phys Input'!$B$43</f>
        <v>37500</v>
      </c>
      <c r="T34" s="31"/>
      <c r="U34" s="140"/>
    </row>
    <row r="35" spans="1:21">
      <c r="A35" s="155">
        <v>125</v>
      </c>
      <c r="B35" s="50">
        <f>5*150*250-G35</f>
        <v>172500</v>
      </c>
      <c r="C35" s="31">
        <f>B35*'Phys Input'!$B$38</f>
        <v>496800</v>
      </c>
      <c r="D35" s="45">
        <v>44.3</v>
      </c>
      <c r="E35" s="4"/>
      <c r="F35" s="26"/>
      <c r="G35" s="50">
        <v>15000</v>
      </c>
      <c r="H35" s="140">
        <f>G35*'Phys Input'!$B$45</f>
        <v>44250</v>
      </c>
      <c r="I35" s="149">
        <v>0</v>
      </c>
      <c r="J35" s="140">
        <f>I35*'Phys Input'!$B$44</f>
        <v>0</v>
      </c>
      <c r="K35" s="50">
        <f>(B35+G35+I35)*'Phys Input'!$B$48</f>
        <v>178125</v>
      </c>
      <c r="L35" s="31">
        <f>(C35+H35+J35)*'Phys Input'!$B$48</f>
        <v>513997.5</v>
      </c>
      <c r="M35" s="45">
        <f>C35*D35*'Phys Input'!$B$48/L35</f>
        <v>40.676906016079847</v>
      </c>
      <c r="N35" s="45">
        <f>C35*E35*'Phys Input'!$B$48/L35</f>
        <v>0</v>
      </c>
      <c r="O35" s="147">
        <f>C35*F35*'Phys Input'!$B$48/L35</f>
        <v>0</v>
      </c>
      <c r="P35" s="50"/>
      <c r="Q35" s="140"/>
      <c r="R35" s="50">
        <v>40000</v>
      </c>
      <c r="S35" s="140">
        <f>R35*'Phys Input'!$B$43</f>
        <v>100000</v>
      </c>
      <c r="T35" s="31">
        <v>50000</v>
      </c>
      <c r="U35" s="140">
        <f>T35*'Phys Input'!$B$44</f>
        <v>145000</v>
      </c>
    </row>
    <row r="36" spans="1:21">
      <c r="A36" s="155">
        <v>120</v>
      </c>
      <c r="B36" s="50">
        <f>5*140*240-G36</f>
        <v>153000</v>
      </c>
      <c r="C36" s="31">
        <f>B36*'Phys Input'!$B$38</f>
        <v>440640</v>
      </c>
      <c r="D36" s="45">
        <v>44.3</v>
      </c>
      <c r="E36" s="4"/>
      <c r="F36" s="26"/>
      <c r="G36" s="50">
        <v>15000</v>
      </c>
      <c r="H36" s="140">
        <f>G36*'Phys Input'!$B$45</f>
        <v>44250</v>
      </c>
      <c r="I36" s="149">
        <v>0</v>
      </c>
      <c r="J36" s="140">
        <f>I36*'Phys Input'!$B$44</f>
        <v>0</v>
      </c>
      <c r="K36" s="50">
        <f>(B36+G36+I36)*'Phys Input'!$B$48</f>
        <v>159600</v>
      </c>
      <c r="L36" s="31">
        <f>(C36+H36+J36)*'Phys Input'!$B$48</f>
        <v>460645.5</v>
      </c>
      <c r="M36" s="45">
        <f>C36*D36*'Phys Input'!$B$48/L36</f>
        <v>40.257278970488152</v>
      </c>
      <c r="N36" s="45">
        <f>C36*E36*'Phys Input'!$B$48/L36</f>
        <v>0</v>
      </c>
      <c r="O36" s="147">
        <f>C36*F36*'Phys Input'!$B$48/L36</f>
        <v>0</v>
      </c>
      <c r="P36" s="50"/>
      <c r="Q36" s="140"/>
      <c r="R36" s="50"/>
      <c r="S36" s="140"/>
      <c r="T36" s="31">
        <v>45000</v>
      </c>
      <c r="U36" s="140">
        <f>T36*'Phys Input'!$B$44</f>
        <v>130500</v>
      </c>
    </row>
    <row r="37" spans="1:21">
      <c r="A37" s="155">
        <v>115</v>
      </c>
      <c r="B37" s="50">
        <f>5*130*230-G37</f>
        <v>134500</v>
      </c>
      <c r="C37" s="31">
        <f>B37*'Phys Input'!$B$38</f>
        <v>387360</v>
      </c>
      <c r="D37" s="45">
        <v>44.3</v>
      </c>
      <c r="E37" s="4"/>
      <c r="F37" s="26"/>
      <c r="G37" s="50">
        <v>15000</v>
      </c>
      <c r="H37" s="140">
        <f>G37*'Phys Input'!$B$45</f>
        <v>44250</v>
      </c>
      <c r="I37" s="149">
        <v>0</v>
      </c>
      <c r="J37" s="140">
        <f>I37*'Phys Input'!$B$44</f>
        <v>0</v>
      </c>
      <c r="K37" s="50">
        <f>(B37+G37+I37)*'Phys Input'!$B$48</f>
        <v>142025</v>
      </c>
      <c r="L37" s="31">
        <f>(C37+H37+J37)*'Phys Input'!$B$48</f>
        <v>410029.5</v>
      </c>
      <c r="M37" s="45">
        <f>C37*D37*'Phys Input'!$B$48/L37</f>
        <v>39.758226176409259</v>
      </c>
      <c r="N37" s="45">
        <f>C37*E37*'Phys Input'!$B$48/L37</f>
        <v>0</v>
      </c>
      <c r="O37" s="147">
        <f>C37*F37*'Phys Input'!$B$48/L37</f>
        <v>0</v>
      </c>
      <c r="P37" s="50"/>
      <c r="Q37" s="140"/>
      <c r="R37" s="50"/>
      <c r="S37" s="140"/>
      <c r="T37" s="31">
        <v>40000</v>
      </c>
      <c r="U37" s="140">
        <f>T37*'Phys Input'!$B$44</f>
        <v>116000</v>
      </c>
    </row>
    <row r="38" spans="1:21">
      <c r="A38" s="155">
        <v>110</v>
      </c>
      <c r="B38" s="50">
        <f>5*120*220-G38</f>
        <v>120000</v>
      </c>
      <c r="C38" s="31">
        <f>B38*'Phys Input'!$B$38</f>
        <v>345600</v>
      </c>
      <c r="D38" s="45">
        <v>44.3</v>
      </c>
      <c r="E38" s="4"/>
      <c r="F38" s="26"/>
      <c r="G38" s="50">
        <v>12000</v>
      </c>
      <c r="H38" s="140">
        <f>G38*'Phys Input'!$B$45</f>
        <v>35400</v>
      </c>
      <c r="I38" s="149">
        <v>0</v>
      </c>
      <c r="J38" s="140">
        <f>I38*'Phys Input'!$B$44</f>
        <v>0</v>
      </c>
      <c r="K38" s="50">
        <f>(B38+G38+I38)*'Phys Input'!$B$48</f>
        <v>125400</v>
      </c>
      <c r="L38" s="31">
        <f>(C38+H38+J38)*'Phys Input'!$B$48</f>
        <v>361950</v>
      </c>
      <c r="M38" s="45">
        <f>C38*D38*'Phys Input'!$B$48/L38</f>
        <v>40.183937007874007</v>
      </c>
      <c r="N38" s="45">
        <f>C38*E38*'Phys Input'!$B$48/L38</f>
        <v>0</v>
      </c>
      <c r="O38" s="147">
        <f>C38*F38*'Phys Input'!$B$48/L38</f>
        <v>0</v>
      </c>
      <c r="P38" s="50"/>
      <c r="Q38" s="140"/>
      <c r="R38" s="50"/>
      <c r="S38" s="140"/>
      <c r="T38" s="31">
        <v>35000</v>
      </c>
      <c r="U38" s="140">
        <f>T38*'Phys Input'!$B$44</f>
        <v>101500</v>
      </c>
    </row>
    <row r="39" spans="1:21">
      <c r="A39" s="153">
        <v>105</v>
      </c>
      <c r="B39" s="50">
        <f>5*110*210-G39</f>
        <v>103500</v>
      </c>
      <c r="C39" s="31">
        <f>B39*'Phys Input'!$B$38</f>
        <v>298080</v>
      </c>
      <c r="D39" s="45">
        <v>44.3</v>
      </c>
      <c r="E39" s="4"/>
      <c r="F39" s="26"/>
      <c r="G39" s="50">
        <v>12000</v>
      </c>
      <c r="H39" s="140">
        <f>G39*'Phys Input'!$B$45</f>
        <v>35400</v>
      </c>
      <c r="I39" s="149">
        <v>0</v>
      </c>
      <c r="J39" s="140">
        <f>I39*'Phys Input'!$B$44</f>
        <v>0</v>
      </c>
      <c r="K39" s="50">
        <f>(B39+G39+I39)*'Phys Input'!$B$48</f>
        <v>109725</v>
      </c>
      <c r="L39" s="31">
        <f>(C39+H39+J39)*'Phys Input'!$B$48</f>
        <v>316806</v>
      </c>
      <c r="M39" s="45">
        <f>C39*D39*'Phys Input'!$B$48/L39</f>
        <v>39.597409139978403</v>
      </c>
      <c r="N39" s="45">
        <f>C39*E39*'Phys Input'!$B$48/L39</f>
        <v>0</v>
      </c>
      <c r="O39" s="147">
        <f>C39*F39*'Phys Input'!$B$48/L39</f>
        <v>0</v>
      </c>
      <c r="P39" s="50"/>
      <c r="Q39" s="140"/>
      <c r="R39" s="50"/>
      <c r="S39" s="140"/>
      <c r="T39" s="31">
        <v>30000</v>
      </c>
      <c r="U39" s="140">
        <f>T39*'Phys Input'!$B$44</f>
        <v>87000</v>
      </c>
    </row>
    <row r="40" spans="1:21">
      <c r="A40" s="153">
        <v>100</v>
      </c>
      <c r="B40" s="50">
        <f>5*100*200-G40</f>
        <v>88000</v>
      </c>
      <c r="C40" s="31">
        <f>B40*'Phys Input'!$B$38</f>
        <v>253440</v>
      </c>
      <c r="D40" s="45">
        <v>44.3</v>
      </c>
      <c r="E40" s="4"/>
      <c r="F40" s="26"/>
      <c r="G40" s="50">
        <v>12000</v>
      </c>
      <c r="H40" s="140">
        <f>G40*'Phys Input'!$B$45</f>
        <v>35400</v>
      </c>
      <c r="I40" s="149">
        <v>0</v>
      </c>
      <c r="J40" s="140">
        <f>I40*'Phys Input'!$B$44</f>
        <v>0</v>
      </c>
      <c r="K40" s="50">
        <f>(B40+G40+I40)*'Phys Input'!$B$48</f>
        <v>95000</v>
      </c>
      <c r="L40" s="31">
        <f>(C40+H40+J40)*'Phys Input'!$B$48</f>
        <v>274398</v>
      </c>
      <c r="M40" s="45">
        <f>C40*D40*'Phys Input'!$B$48/L40</f>
        <v>38.870627336933943</v>
      </c>
      <c r="N40" s="45">
        <f>C40*E40*'Phys Input'!$B$48/L40</f>
        <v>0</v>
      </c>
      <c r="O40" s="147">
        <f>C40*F40*'Phys Input'!$B$48/L40</f>
        <v>0</v>
      </c>
      <c r="P40" s="50"/>
      <c r="Q40" s="140"/>
      <c r="R40" s="50"/>
      <c r="S40" s="140"/>
      <c r="T40" s="31">
        <v>35000</v>
      </c>
      <c r="U40" s="140">
        <f>T40*'Phys Input'!$B$44</f>
        <v>101500</v>
      </c>
    </row>
    <row r="41" spans="1:21">
      <c r="A41" s="153">
        <v>95</v>
      </c>
      <c r="B41" s="50">
        <f>5*90*190-G41</f>
        <v>74500</v>
      </c>
      <c r="C41" s="31">
        <f>B41*'Phys Input'!$B$38</f>
        <v>214560</v>
      </c>
      <c r="D41" s="45">
        <v>44.3</v>
      </c>
      <c r="E41" s="4"/>
      <c r="F41" s="26"/>
      <c r="G41" s="50">
        <v>11000</v>
      </c>
      <c r="H41" s="140">
        <f>G41*'Phys Input'!$B$45</f>
        <v>32450.000000000004</v>
      </c>
      <c r="I41" s="149">
        <v>0</v>
      </c>
      <c r="J41" s="140">
        <f>I41*'Phys Input'!$B$44</f>
        <v>0</v>
      </c>
      <c r="K41" s="50">
        <f>(B41+G41+I41)*'Phys Input'!$B$48</f>
        <v>81225</v>
      </c>
      <c r="L41" s="31">
        <f>(C41+H41+J41)*'Phys Input'!$B$48</f>
        <v>234659.5</v>
      </c>
      <c r="M41" s="45">
        <f>C41*D41*'Phys Input'!$B$48/L41</f>
        <v>38.480255860086636</v>
      </c>
      <c r="N41" s="45">
        <f>C41*E41*'Phys Input'!$B$48/L41</f>
        <v>0</v>
      </c>
      <c r="O41" s="147">
        <f>C41*F41*'Phys Input'!$B$48/L41</f>
        <v>0</v>
      </c>
      <c r="P41" s="50"/>
      <c r="Q41" s="140"/>
      <c r="R41" s="50"/>
      <c r="S41" s="140"/>
      <c r="T41" s="31">
        <v>20000</v>
      </c>
      <c r="U41" s="140">
        <f>T41*'Phys Input'!$B$44</f>
        <v>58000</v>
      </c>
    </row>
    <row r="42" spans="1:21">
      <c r="A42" s="153">
        <v>90</v>
      </c>
      <c r="B42" s="50">
        <f>5*80*180-G42</f>
        <v>63000</v>
      </c>
      <c r="C42" s="31">
        <f>B42*'Phys Input'!$B$38</f>
        <v>181440</v>
      </c>
      <c r="D42" s="45">
        <v>44.3</v>
      </c>
      <c r="E42" s="4"/>
      <c r="F42" s="26"/>
      <c r="G42" s="50">
        <v>9000</v>
      </c>
      <c r="H42" s="140">
        <f>G42*'Phys Input'!$B$45</f>
        <v>26550</v>
      </c>
      <c r="I42" s="149">
        <v>0</v>
      </c>
      <c r="J42" s="140">
        <f>I42*'Phys Input'!$B$44</f>
        <v>0</v>
      </c>
      <c r="K42" s="50">
        <f>(B42+G42+I42)*'Phys Input'!$B$48</f>
        <v>68400</v>
      </c>
      <c r="L42" s="31">
        <f>(C42+H42+J42)*'Phys Input'!$B$48</f>
        <v>197590.5</v>
      </c>
      <c r="M42" s="45">
        <f>C42*D42*'Phys Input'!$B$48/L42</f>
        <v>38.645088706187792</v>
      </c>
      <c r="N42" s="45">
        <f>C42*E42*'Phys Input'!$B$48/L42</f>
        <v>0</v>
      </c>
      <c r="O42" s="147">
        <f>C42*F42*'Phys Input'!$B$48/L42</f>
        <v>0</v>
      </c>
      <c r="P42" s="50"/>
      <c r="Q42" s="140"/>
      <c r="R42" s="50"/>
      <c r="S42" s="140"/>
      <c r="T42" s="31">
        <v>15000</v>
      </c>
      <c r="U42" s="140">
        <f>T42*'Phys Input'!$B$44</f>
        <v>43500</v>
      </c>
    </row>
    <row r="43" spans="1:21">
      <c r="A43" s="153">
        <v>85</v>
      </c>
      <c r="B43" s="50">
        <f>5*70*170-G43</f>
        <v>52500</v>
      </c>
      <c r="C43" s="31">
        <f>B43*'Phys Input'!$B$38</f>
        <v>151200</v>
      </c>
      <c r="D43" s="45">
        <v>44.3</v>
      </c>
      <c r="E43" s="4"/>
      <c r="F43" s="26"/>
      <c r="G43" s="50">
        <v>7000</v>
      </c>
      <c r="H43" s="140">
        <f>G43*'Phys Input'!$B$45</f>
        <v>20650</v>
      </c>
      <c r="I43" s="149">
        <v>0</v>
      </c>
      <c r="J43" s="140">
        <f>I43*'Phys Input'!$B$44</f>
        <v>0</v>
      </c>
      <c r="K43" s="50">
        <f>(B43+G43+I43)*'Phys Input'!$B$48</f>
        <v>56525</v>
      </c>
      <c r="L43" s="31">
        <f>(C43+H43+J43)*'Phys Input'!$B$48</f>
        <v>163257.5</v>
      </c>
      <c r="M43" s="45">
        <f>C43*D43*'Phys Input'!$B$48/L43</f>
        <v>38.976782077393075</v>
      </c>
      <c r="N43" s="45">
        <f>C43*E43*'Phys Input'!$B$48/L43</f>
        <v>0</v>
      </c>
      <c r="O43" s="147">
        <f>C43*F43*'Phys Input'!$B$48/L43</f>
        <v>0</v>
      </c>
      <c r="P43" s="50"/>
      <c r="Q43" s="140"/>
      <c r="R43" s="50"/>
      <c r="S43" s="140"/>
      <c r="T43" s="31">
        <v>10000</v>
      </c>
      <c r="U43" s="140">
        <f>T43*'Phys Input'!$B$44</f>
        <v>29000</v>
      </c>
    </row>
    <row r="44" spans="1:21">
      <c r="A44" s="154">
        <v>80</v>
      </c>
      <c r="B44" s="50">
        <f>5*60*160-G44</f>
        <v>43000</v>
      </c>
      <c r="C44" s="31">
        <f>B44*'Phys Input'!$B$38</f>
        <v>123840</v>
      </c>
      <c r="D44" s="45">
        <v>44.3</v>
      </c>
      <c r="E44" s="4"/>
      <c r="F44" s="26"/>
      <c r="G44" s="50">
        <v>5000</v>
      </c>
      <c r="H44" s="140">
        <f>G44*'Phys Input'!$B$45</f>
        <v>14750</v>
      </c>
      <c r="I44" s="149">
        <v>0</v>
      </c>
      <c r="J44" s="140">
        <f>I44*'Phys Input'!$B$44</f>
        <v>0</v>
      </c>
      <c r="K44" s="50">
        <f>(B44+G44+I44)*'Phys Input'!$B$48</f>
        <v>45600</v>
      </c>
      <c r="L44" s="31">
        <f>(C44+H44+J44)*'Phys Input'!$B$48</f>
        <v>131660.5</v>
      </c>
      <c r="M44" s="45">
        <f>C44*D44*'Phys Input'!$B$48/L44</f>
        <v>39.585193736921852</v>
      </c>
      <c r="N44" s="45">
        <f>C44*E44*'Phys Input'!$B$48/L44</f>
        <v>0</v>
      </c>
      <c r="O44" s="147">
        <f>C44*F44*'Phys Input'!$B$48/L44</f>
        <v>0</v>
      </c>
      <c r="P44" s="50"/>
      <c r="Q44" s="140"/>
      <c r="R44" s="50"/>
      <c r="S44" s="140"/>
      <c r="T44" s="31">
        <v>5000</v>
      </c>
      <c r="U44" s="140">
        <f>T44*'Phys Input'!$B$44</f>
        <v>14500</v>
      </c>
    </row>
    <row r="45" spans="1:21">
      <c r="A45" s="154">
        <v>75</v>
      </c>
      <c r="B45" s="50">
        <f>5*50*150-G45</f>
        <v>34500</v>
      </c>
      <c r="C45" s="31">
        <f>B45*'Phys Input'!$B$38</f>
        <v>99360</v>
      </c>
      <c r="D45" s="45">
        <v>44.3</v>
      </c>
      <c r="E45" s="4"/>
      <c r="F45" s="26"/>
      <c r="G45" s="50">
        <v>3000</v>
      </c>
      <c r="H45" s="140">
        <f>G45*'Phys Input'!$B$45</f>
        <v>8850</v>
      </c>
      <c r="I45" s="149">
        <v>0</v>
      </c>
      <c r="J45" s="140">
        <f>I45*'Phys Input'!$B$44</f>
        <v>0</v>
      </c>
      <c r="K45" s="50">
        <f>(B45+G45+I45)*'Phys Input'!$B$48</f>
        <v>35625</v>
      </c>
      <c r="L45" s="31">
        <f>(C45+H45+J45)*'Phys Input'!$B$48</f>
        <v>102799.5</v>
      </c>
      <c r="M45" s="45">
        <f>C45*D45*'Phys Input'!$B$48/L45</f>
        <v>40.67690601607984</v>
      </c>
      <c r="N45" s="45">
        <f>C45*E45*'Phys Input'!$B$48/L45</f>
        <v>0</v>
      </c>
      <c r="O45" s="147">
        <f>C45*F45*'Phys Input'!$B$48/L45</f>
        <v>0</v>
      </c>
      <c r="P45" s="50"/>
      <c r="Q45" s="140"/>
      <c r="R45" s="50"/>
      <c r="S45" s="140"/>
      <c r="T45" s="31"/>
      <c r="U45" s="140"/>
    </row>
    <row r="46" spans="1:21">
      <c r="A46" s="154">
        <v>70</v>
      </c>
      <c r="B46" s="50">
        <f>5*40*140-G46</f>
        <v>26000</v>
      </c>
      <c r="C46" s="31">
        <f>B46*'Phys Input'!$B$38</f>
        <v>74880</v>
      </c>
      <c r="D46" s="45">
        <v>44.3</v>
      </c>
      <c r="E46" s="4"/>
      <c r="F46" s="26"/>
      <c r="G46" s="50">
        <v>2000</v>
      </c>
      <c r="H46" s="140">
        <f>G46*'Phys Input'!$B$45</f>
        <v>5900</v>
      </c>
      <c r="I46" s="149">
        <v>0</v>
      </c>
      <c r="J46" s="140">
        <f>I46*'Phys Input'!$B$44</f>
        <v>0</v>
      </c>
      <c r="K46" s="50">
        <f>(B46+G46+I46)*'Phys Input'!$B$48</f>
        <v>26600</v>
      </c>
      <c r="L46" s="31">
        <f>(C46+H46+J46)*'Phys Input'!$B$48</f>
        <v>76741</v>
      </c>
      <c r="M46" s="45">
        <f>C46*D46*'Phys Input'!$B$48/L46</f>
        <v>41.064421886605594</v>
      </c>
      <c r="N46" s="45">
        <f>C46*E46*'Phys Input'!$B$48/L46</f>
        <v>0</v>
      </c>
      <c r="O46" s="147">
        <f>C46*F46*'Phys Input'!$B$48/L46</f>
        <v>0</v>
      </c>
      <c r="P46" s="50"/>
      <c r="Q46" s="140"/>
      <c r="R46" s="50"/>
      <c r="S46" s="140"/>
      <c r="T46" s="31"/>
      <c r="U46" s="140"/>
    </row>
    <row r="47" spans="1:21">
      <c r="A47" s="154">
        <v>65</v>
      </c>
      <c r="B47" s="50"/>
      <c r="C47" s="31"/>
      <c r="D47" s="45"/>
      <c r="E47" s="4"/>
      <c r="F47" s="26"/>
      <c r="G47" s="50"/>
      <c r="H47" s="140"/>
      <c r="I47" s="149"/>
      <c r="J47" s="140"/>
      <c r="K47" s="50"/>
      <c r="L47" s="31"/>
      <c r="M47" s="45"/>
      <c r="N47" s="45"/>
      <c r="O47" s="147"/>
      <c r="P47" s="50"/>
      <c r="Q47" s="140"/>
      <c r="R47" s="50"/>
      <c r="S47" s="140"/>
      <c r="T47" s="31"/>
      <c r="U47" s="140"/>
    </row>
    <row r="48" spans="1:21">
      <c r="A48" s="154">
        <v>60</v>
      </c>
      <c r="B48" s="50"/>
      <c r="C48" s="31"/>
      <c r="D48" s="45"/>
      <c r="E48" s="4"/>
      <c r="F48" s="26"/>
      <c r="G48" s="50"/>
      <c r="H48" s="140"/>
      <c r="I48" s="149"/>
      <c r="J48" s="140"/>
      <c r="K48" s="50"/>
      <c r="L48" s="31"/>
      <c r="M48" s="45"/>
      <c r="N48" s="45"/>
      <c r="O48" s="147"/>
      <c r="P48" s="50"/>
      <c r="Q48" s="140"/>
      <c r="R48" s="50"/>
      <c r="S48" s="140"/>
      <c r="T48" s="31"/>
      <c r="U48" s="140"/>
    </row>
    <row r="49" spans="1:21">
      <c r="A49" s="155">
        <v>55</v>
      </c>
      <c r="B49" s="50"/>
      <c r="C49" s="31"/>
      <c r="D49" s="45"/>
      <c r="E49" s="4"/>
      <c r="F49" s="26"/>
      <c r="G49" s="50"/>
      <c r="H49" s="140"/>
      <c r="I49" s="149"/>
      <c r="J49" s="140"/>
      <c r="K49" s="50"/>
      <c r="L49" s="31"/>
      <c r="M49" s="45"/>
      <c r="N49" s="45"/>
      <c r="O49" s="147"/>
      <c r="P49" s="50"/>
      <c r="Q49" s="140"/>
      <c r="R49" s="50"/>
      <c r="S49" s="140"/>
      <c r="T49" s="31"/>
      <c r="U49" s="140"/>
    </row>
    <row r="50" spans="1:21">
      <c r="A50" s="155">
        <v>50</v>
      </c>
      <c r="B50" s="50"/>
      <c r="C50" s="31"/>
      <c r="D50" s="45"/>
      <c r="E50" s="4"/>
      <c r="F50" s="26"/>
      <c r="G50" s="50"/>
      <c r="H50" s="140"/>
      <c r="I50" s="149"/>
      <c r="J50" s="140"/>
      <c r="K50" s="50"/>
      <c r="L50" s="31"/>
      <c r="M50" s="45"/>
      <c r="N50" s="45"/>
      <c r="O50" s="147"/>
      <c r="P50" s="50"/>
      <c r="Q50" s="140"/>
      <c r="R50" s="50"/>
      <c r="S50" s="140"/>
      <c r="T50" s="31"/>
      <c r="U50" s="140"/>
    </row>
    <row r="51" spans="1:21">
      <c r="A51" s="155">
        <v>45</v>
      </c>
      <c r="B51" s="50"/>
      <c r="C51" s="31"/>
      <c r="D51" s="45"/>
      <c r="E51" s="4"/>
      <c r="F51" s="26"/>
      <c r="G51" s="50"/>
      <c r="H51" s="140"/>
      <c r="I51" s="149"/>
      <c r="J51" s="140"/>
      <c r="K51" s="50"/>
      <c r="L51" s="31"/>
      <c r="M51" s="45"/>
      <c r="N51" s="45"/>
      <c r="O51" s="147"/>
      <c r="P51" s="50"/>
      <c r="Q51" s="140"/>
      <c r="R51" s="50"/>
      <c r="S51" s="140"/>
      <c r="T51" s="31"/>
      <c r="U51" s="140"/>
    </row>
    <row r="52" spans="1:21">
      <c r="A52" s="155">
        <v>40</v>
      </c>
      <c r="B52" s="50"/>
      <c r="C52" s="31"/>
      <c r="D52" s="45"/>
      <c r="E52" s="4"/>
      <c r="F52" s="26"/>
      <c r="G52" s="50"/>
      <c r="H52" s="140"/>
      <c r="I52" s="149"/>
      <c r="J52" s="140"/>
      <c r="K52" s="50"/>
      <c r="L52" s="31"/>
      <c r="M52" s="45"/>
      <c r="N52" s="45"/>
      <c r="O52" s="147"/>
      <c r="P52" s="50"/>
      <c r="Q52" s="140"/>
      <c r="R52" s="50"/>
      <c r="S52" s="140"/>
      <c r="T52" s="31"/>
      <c r="U52" s="140"/>
    </row>
    <row r="53" spans="1:21">
      <c r="A53" s="155">
        <v>35</v>
      </c>
      <c r="B53" s="50"/>
      <c r="C53" s="31"/>
      <c r="D53" s="45"/>
      <c r="E53" s="4"/>
      <c r="F53" s="26"/>
      <c r="G53" s="50"/>
      <c r="H53" s="140"/>
      <c r="I53" s="149"/>
      <c r="J53" s="140"/>
      <c r="K53" s="50"/>
      <c r="L53" s="31"/>
      <c r="M53" s="45"/>
      <c r="N53" s="45"/>
      <c r="O53" s="147"/>
      <c r="P53" s="50"/>
      <c r="Q53" s="140"/>
      <c r="R53" s="50"/>
      <c r="S53" s="140"/>
      <c r="T53" s="31"/>
      <c r="U53" s="140"/>
    </row>
    <row r="54" spans="1:21">
      <c r="A54" s="155">
        <v>30</v>
      </c>
      <c r="B54" s="50"/>
      <c r="C54" s="31"/>
      <c r="D54" s="45"/>
      <c r="E54" s="4"/>
      <c r="F54" s="26"/>
      <c r="G54" s="50"/>
      <c r="H54" s="140"/>
      <c r="I54" s="149"/>
      <c r="J54" s="140"/>
      <c r="K54" s="50"/>
      <c r="L54" s="31"/>
      <c r="M54" s="45"/>
      <c r="N54" s="45"/>
      <c r="O54" s="147"/>
      <c r="P54" s="50"/>
      <c r="Q54" s="140"/>
      <c r="R54" s="50"/>
      <c r="S54" s="140"/>
      <c r="T54" s="31"/>
      <c r="U54" s="140"/>
    </row>
    <row r="55" spans="1:21">
      <c r="A55" s="155">
        <v>25</v>
      </c>
      <c r="B55" s="50"/>
      <c r="C55" s="31"/>
      <c r="D55" s="45"/>
      <c r="E55" s="4"/>
      <c r="F55" s="26"/>
      <c r="G55" s="50"/>
      <c r="H55" s="140"/>
      <c r="I55" s="149"/>
      <c r="J55" s="140"/>
      <c r="K55" s="50"/>
      <c r="L55" s="31"/>
      <c r="M55" s="45"/>
      <c r="N55" s="45"/>
      <c r="O55" s="147"/>
      <c r="P55" s="50"/>
      <c r="Q55" s="140"/>
      <c r="R55" s="50"/>
      <c r="S55" s="140"/>
      <c r="T55" s="31"/>
      <c r="U55" s="140"/>
    </row>
    <row r="56" spans="1:21">
      <c r="A56" s="155">
        <v>20</v>
      </c>
      <c r="B56" s="50"/>
      <c r="C56" s="31"/>
      <c r="D56" s="45"/>
      <c r="E56" s="4"/>
      <c r="F56" s="26"/>
      <c r="G56" s="50"/>
      <c r="H56" s="140"/>
      <c r="I56" s="149"/>
      <c r="J56" s="140"/>
      <c r="K56" s="50"/>
      <c r="L56" s="31"/>
      <c r="M56" s="45"/>
      <c r="N56" s="45"/>
      <c r="O56" s="147"/>
      <c r="P56" s="50"/>
      <c r="Q56" s="140"/>
      <c r="R56" s="50"/>
      <c r="S56" s="140"/>
      <c r="T56" s="31"/>
      <c r="U56" s="140"/>
    </row>
    <row r="57" spans="1:21">
      <c r="A57" s="155">
        <v>15</v>
      </c>
      <c r="B57" s="50"/>
      <c r="C57" s="31"/>
      <c r="D57" s="45"/>
      <c r="E57" s="4"/>
      <c r="F57" s="26"/>
      <c r="G57" s="50"/>
      <c r="H57" s="140"/>
      <c r="I57" s="149"/>
      <c r="J57" s="140"/>
      <c r="K57" s="50"/>
      <c r="L57" s="31"/>
      <c r="M57" s="45"/>
      <c r="N57" s="45"/>
      <c r="O57" s="147"/>
      <c r="P57" s="50"/>
      <c r="Q57" s="140"/>
      <c r="R57" s="50"/>
      <c r="S57" s="140"/>
      <c r="T57" s="31"/>
      <c r="U57" s="140"/>
    </row>
    <row r="58" spans="1:21">
      <c r="A58" s="155">
        <v>10</v>
      </c>
      <c r="B58" s="50"/>
      <c r="C58" s="31"/>
      <c r="D58" s="45"/>
      <c r="E58" s="4"/>
      <c r="F58" s="26"/>
      <c r="G58" s="30"/>
      <c r="H58" s="26"/>
      <c r="I58" s="30"/>
      <c r="J58" s="26"/>
      <c r="K58" s="30"/>
      <c r="L58" s="4"/>
      <c r="M58" s="4"/>
      <c r="N58" s="4"/>
      <c r="O58" s="26"/>
      <c r="P58" s="50"/>
      <c r="Q58" s="140"/>
      <c r="R58" s="50"/>
      <c r="S58" s="140"/>
      <c r="T58" s="31"/>
      <c r="U58" s="140"/>
    </row>
    <row r="59" spans="1:21">
      <c r="A59" s="155">
        <v>5</v>
      </c>
      <c r="B59" s="50"/>
      <c r="C59" s="31"/>
      <c r="D59" s="45"/>
      <c r="E59" s="4"/>
      <c r="F59" s="26"/>
      <c r="G59" s="30"/>
      <c r="H59" s="26"/>
      <c r="I59" s="30"/>
      <c r="J59" s="26"/>
      <c r="K59" s="30"/>
      <c r="L59" s="4"/>
      <c r="M59" s="4"/>
      <c r="N59" s="4"/>
      <c r="O59" s="26"/>
      <c r="P59" s="50"/>
      <c r="Q59" s="140"/>
      <c r="R59" s="50"/>
      <c r="S59" s="140"/>
      <c r="T59" s="31"/>
      <c r="U59" s="140"/>
    </row>
    <row r="60" spans="1:21">
      <c r="A60" s="155">
        <v>0</v>
      </c>
      <c r="B60" s="50"/>
      <c r="C60" s="31"/>
      <c r="D60" s="45"/>
      <c r="E60" s="4"/>
      <c r="F60" s="26"/>
      <c r="G60" s="30"/>
      <c r="H60" s="26"/>
      <c r="I60" s="30"/>
      <c r="J60" s="26"/>
      <c r="K60" s="30"/>
      <c r="L60" s="4"/>
      <c r="M60" s="4"/>
      <c r="N60" s="4"/>
      <c r="O60" s="26"/>
      <c r="P60" s="50"/>
      <c r="Q60" s="140"/>
      <c r="R60" s="50"/>
      <c r="S60" s="140"/>
      <c r="T60" s="31"/>
      <c r="U60" s="140"/>
    </row>
    <row r="61" spans="1:21">
      <c r="A61" s="150" t="s">
        <v>80</v>
      </c>
      <c r="B61" s="156">
        <f>SUM(B30:B60)</f>
        <v>1065000</v>
      </c>
      <c r="C61" s="91">
        <f>SUM(C30:C60)</f>
        <v>3067200</v>
      </c>
      <c r="D61" s="148">
        <f>IF(C61=0,0,SUMPRODUCT(C30:C60,D30:D60)/C61)</f>
        <v>44.3</v>
      </c>
      <c r="E61" s="148">
        <f>IF(D61=0,0,SUMPRODUCT(C30:C60,E30:E60)/C61)</f>
        <v>0</v>
      </c>
      <c r="F61" s="157">
        <f>IF(E61=0,0,SUMPRODUCT(C30:C60,F30:F60)/C61)</f>
        <v>0</v>
      </c>
      <c r="G61" s="156">
        <f t="shared" ref="G61:L61" si="2">SUM(G30:G60)</f>
        <v>118000</v>
      </c>
      <c r="H61" s="151">
        <f t="shared" si="2"/>
        <v>348100</v>
      </c>
      <c r="I61" s="156">
        <f t="shared" si="2"/>
        <v>0</v>
      </c>
      <c r="J61" s="151">
        <f t="shared" si="2"/>
        <v>0</v>
      </c>
      <c r="K61" s="156">
        <f t="shared" si="2"/>
        <v>1123850</v>
      </c>
      <c r="L61" s="91">
        <f t="shared" si="2"/>
        <v>3244535</v>
      </c>
      <c r="M61" s="148">
        <f>IF(L61=0,0,SUMPRODUCT(L30:L60,M30:M60)/L61)</f>
        <v>39.784780253564833</v>
      </c>
      <c r="N61" s="148">
        <f>IF(M61=0,0,SUMPRODUCT(L30:L60,N30:N60)/L61)</f>
        <v>0</v>
      </c>
      <c r="O61" s="157">
        <f>IF(N61=0,0,SUMPRODUCT(L30:L60,O30:O60)/L61)</f>
        <v>0</v>
      </c>
      <c r="P61" s="156">
        <f t="shared" ref="P61:U61" si="3">SUM(P30:P60)</f>
        <v>188000</v>
      </c>
      <c r="Q61" s="151">
        <f t="shared" si="3"/>
        <v>394800</v>
      </c>
      <c r="R61" s="156">
        <f t="shared" si="3"/>
        <v>55000</v>
      </c>
      <c r="S61" s="151">
        <f t="shared" si="3"/>
        <v>137500</v>
      </c>
      <c r="T61" s="91">
        <f t="shared" si="3"/>
        <v>285000</v>
      </c>
      <c r="U61" s="151">
        <f t="shared" si="3"/>
        <v>826500</v>
      </c>
    </row>
    <row r="62" spans="1:21">
      <c r="A62" s="159" t="s">
        <v>5</v>
      </c>
      <c r="B62" s="23"/>
      <c r="C62" s="24"/>
      <c r="D62" s="24"/>
      <c r="E62" s="24"/>
      <c r="F62" s="25"/>
      <c r="G62" s="23"/>
      <c r="H62" s="25"/>
      <c r="I62" s="23"/>
      <c r="J62" s="25"/>
      <c r="K62" s="23"/>
      <c r="L62" s="24"/>
      <c r="M62" s="24"/>
      <c r="N62" s="24"/>
      <c r="O62" s="25"/>
      <c r="P62" s="162"/>
      <c r="Q62" s="160"/>
      <c r="R62" s="162"/>
      <c r="S62" s="160"/>
      <c r="T62" s="49"/>
      <c r="U62" s="160"/>
    </row>
    <row r="63" spans="1:21">
      <c r="A63" s="150" t="s">
        <v>215</v>
      </c>
      <c r="B63" s="156">
        <f>B28+B61</f>
        <v>1301500</v>
      </c>
      <c r="C63" s="91">
        <f>C28+C61</f>
        <v>3748320</v>
      </c>
      <c r="D63" s="152">
        <f>(C28*D28+C61*D61)/C63</f>
        <v>44.3</v>
      </c>
      <c r="E63" s="152">
        <f>(C28*E28+C61*E61)/C63</f>
        <v>0</v>
      </c>
      <c r="F63" s="158">
        <f>(C28*F28+C61*F61)/C63</f>
        <v>0</v>
      </c>
      <c r="G63" s="156">
        <f t="shared" ref="G63:L63" si="4">G28+G61</f>
        <v>159000</v>
      </c>
      <c r="H63" s="151">
        <f t="shared" si="4"/>
        <v>469050</v>
      </c>
      <c r="I63" s="156">
        <f t="shared" si="4"/>
        <v>0</v>
      </c>
      <c r="J63" s="151">
        <f t="shared" si="4"/>
        <v>0</v>
      </c>
      <c r="K63" s="156">
        <f t="shared" si="4"/>
        <v>1387475</v>
      </c>
      <c r="L63" s="91">
        <f t="shared" si="4"/>
        <v>4006501.5</v>
      </c>
      <c r="M63" s="152">
        <f>(L28*M28+L61*M61)/L63</f>
        <v>39.373015884307037</v>
      </c>
      <c r="N63" s="152">
        <f>(L28*N28+L61*N61)/L63</f>
        <v>0</v>
      </c>
      <c r="O63" s="158">
        <f>(L28*O28+L61*O61)/L63</f>
        <v>0</v>
      </c>
      <c r="P63" s="156">
        <f t="shared" ref="P63:U63" si="5">P28+P61</f>
        <v>638000</v>
      </c>
      <c r="Q63" s="151">
        <f t="shared" si="5"/>
        <v>1339800</v>
      </c>
      <c r="R63" s="156">
        <f t="shared" si="5"/>
        <v>162000</v>
      </c>
      <c r="S63" s="151">
        <f t="shared" si="5"/>
        <v>405000</v>
      </c>
      <c r="T63" s="91">
        <f t="shared" si="5"/>
        <v>427500</v>
      </c>
      <c r="U63" s="151">
        <f t="shared" si="5"/>
        <v>1239750</v>
      </c>
    </row>
    <row r="64" spans="1:21">
      <c r="A64" s="48"/>
      <c r="B64" s="48"/>
      <c r="C64" s="34"/>
      <c r="D64" s="34"/>
      <c r="E64" s="34"/>
      <c r="F64" s="35"/>
      <c r="G64" s="48"/>
      <c r="H64" s="35"/>
      <c r="I64" s="48"/>
      <c r="J64" s="35"/>
      <c r="K64" s="48"/>
      <c r="L64" s="34"/>
      <c r="M64" s="34"/>
      <c r="N64" s="34"/>
      <c r="O64" s="35"/>
      <c r="P64" s="48"/>
      <c r="Q64" s="35"/>
      <c r="R64" s="48"/>
      <c r="S64" s="35"/>
      <c r="T64" s="34"/>
      <c r="U64" s="35"/>
    </row>
  </sheetData>
  <phoneticPr fontId="5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1"/>
  <sheetViews>
    <sheetView topLeftCell="A523" zoomScale="85" workbookViewId="0">
      <selection activeCell="E625" sqref="E625"/>
    </sheetView>
  </sheetViews>
  <sheetFormatPr defaultRowHeight="12.75"/>
  <cols>
    <col min="1" max="1" width="28.85546875" customWidth="1"/>
    <col min="2" max="18" width="9.140625" customWidth="1"/>
    <col min="19" max="19" width="10.5703125" customWidth="1"/>
    <col min="20" max="20" width="9.28515625" bestFit="1" customWidth="1"/>
  </cols>
  <sheetData>
    <row r="1" spans="1:20">
      <c r="A1" s="13" t="s">
        <v>0</v>
      </c>
      <c r="B1" s="77"/>
      <c r="C1" s="77"/>
      <c r="D1" s="7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20">
      <c r="A2" s="16" t="str">
        <f>Title!$F$10</f>
        <v>ARTHUR RIVER MAGNESITE PROJECT</v>
      </c>
      <c r="B2" s="78"/>
      <c r="C2" s="78"/>
      <c r="D2" s="7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</row>
    <row r="3" spans="1:20">
      <c r="A3" s="16" t="str">
        <f>Title!$F$12</f>
        <v>ORDER OF MAGNITUDE COST STUDY: CALCINE PRODUCTION ONLY</v>
      </c>
      <c r="B3" s="78"/>
      <c r="C3" s="78"/>
      <c r="D3" s="7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</row>
    <row r="4" spans="1:20">
      <c r="A4" s="19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 t="str">
        <f>Title!$F$19</f>
        <v>3 October 2011</v>
      </c>
      <c r="S4" s="18"/>
    </row>
    <row r="5" spans="1:20">
      <c r="A5" s="20" t="s">
        <v>296</v>
      </c>
      <c r="B5" s="79"/>
      <c r="C5" s="79"/>
      <c r="D5" s="79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</row>
    <row r="6" spans="1:20">
      <c r="A6" s="46"/>
      <c r="B6" s="41" t="s">
        <v>26</v>
      </c>
      <c r="C6" s="41" t="s">
        <v>26</v>
      </c>
      <c r="D6" s="41" t="s">
        <v>26</v>
      </c>
      <c r="E6" s="41" t="s">
        <v>26</v>
      </c>
      <c r="F6" s="41" t="s">
        <v>26</v>
      </c>
      <c r="G6" s="41" t="s">
        <v>26</v>
      </c>
      <c r="H6" s="41" t="s">
        <v>26</v>
      </c>
      <c r="I6" s="41" t="s">
        <v>26</v>
      </c>
      <c r="J6" s="41" t="s">
        <v>26</v>
      </c>
      <c r="K6" s="41" t="s">
        <v>26</v>
      </c>
      <c r="L6" s="41" t="s">
        <v>26</v>
      </c>
      <c r="M6" s="41" t="s">
        <v>26</v>
      </c>
      <c r="N6" s="41" t="s">
        <v>26</v>
      </c>
      <c r="O6" s="41" t="s">
        <v>26</v>
      </c>
      <c r="P6" s="41" t="s">
        <v>26</v>
      </c>
      <c r="Q6" s="41" t="s">
        <v>26</v>
      </c>
      <c r="R6" s="41"/>
      <c r="S6" s="42" t="s">
        <v>5</v>
      </c>
      <c r="T6" s="174" t="s">
        <v>32</v>
      </c>
    </row>
    <row r="7" spans="1:20">
      <c r="A7" s="8"/>
      <c r="B7" s="43">
        <v>-3</v>
      </c>
      <c r="C7" s="43">
        <v>-2</v>
      </c>
      <c r="D7" s="43">
        <v>-1</v>
      </c>
      <c r="E7" s="43">
        <v>1</v>
      </c>
      <c r="F7" s="43">
        <v>2</v>
      </c>
      <c r="G7" s="43">
        <v>3</v>
      </c>
      <c r="H7" s="43">
        <v>4</v>
      </c>
      <c r="I7" s="43">
        <v>5</v>
      </c>
      <c r="J7" s="43">
        <v>6</v>
      </c>
      <c r="K7" s="43">
        <v>7</v>
      </c>
      <c r="L7" s="43">
        <v>8</v>
      </c>
      <c r="M7" s="43">
        <v>9</v>
      </c>
      <c r="N7" s="43">
        <v>10</v>
      </c>
      <c r="O7" s="43">
        <v>11</v>
      </c>
      <c r="P7" s="43">
        <v>12</v>
      </c>
      <c r="Q7" s="43">
        <v>13</v>
      </c>
      <c r="R7" s="43"/>
      <c r="S7" s="47"/>
    </row>
    <row r="8" spans="1:20">
      <c r="A8" s="39" t="s">
        <v>178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6"/>
    </row>
    <row r="9" spans="1:20">
      <c r="A9" s="139">
        <v>195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11">
        <f t="shared" ref="S9:S26" si="0">SUM(B9:R9)</f>
        <v>0</v>
      </c>
      <c r="T9" s="2">
        <f>Resource!P10</f>
        <v>0</v>
      </c>
    </row>
    <row r="10" spans="1:20">
      <c r="A10" s="141">
        <v>190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11">
        <f t="shared" si="0"/>
        <v>0</v>
      </c>
      <c r="T10" s="2">
        <f>Resource!P11</f>
        <v>0</v>
      </c>
    </row>
    <row r="11" spans="1:20">
      <c r="A11" s="141">
        <v>185</v>
      </c>
      <c r="B11" s="31"/>
      <c r="C11" s="31"/>
      <c r="D11" s="31">
        <f>$T11-SUM($B11:C11)</f>
        <v>18000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11">
        <f t="shared" si="0"/>
        <v>18000</v>
      </c>
      <c r="T11" s="2">
        <f>Resource!P12</f>
        <v>18000</v>
      </c>
    </row>
    <row r="12" spans="1:20">
      <c r="A12" s="141">
        <v>180</v>
      </c>
      <c r="B12" s="31"/>
      <c r="C12" s="31"/>
      <c r="D12" s="31">
        <f>$T12-SUM($B12:C12)</f>
        <v>34000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11">
        <f t="shared" si="0"/>
        <v>34000</v>
      </c>
      <c r="T12" s="2">
        <f>Resource!P13</f>
        <v>34000</v>
      </c>
    </row>
    <row r="13" spans="1:20">
      <c r="A13" s="141">
        <v>175</v>
      </c>
      <c r="B13" s="31"/>
      <c r="C13" s="31"/>
      <c r="D13" s="31">
        <f>$T13-SUM($B13:C13)</f>
        <v>68000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11">
        <f t="shared" si="0"/>
        <v>68000</v>
      </c>
      <c r="T13" s="2">
        <f>Resource!P14</f>
        <v>68000</v>
      </c>
    </row>
    <row r="14" spans="1:20">
      <c r="A14" s="141">
        <v>170</v>
      </c>
      <c r="B14" s="31"/>
      <c r="C14" s="31"/>
      <c r="D14" s="31">
        <f>$T14-SUM($B14:C14)</f>
        <v>96000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11">
        <f t="shared" si="0"/>
        <v>96000</v>
      </c>
      <c r="T14" s="2">
        <f>Resource!P15</f>
        <v>96000</v>
      </c>
    </row>
    <row r="15" spans="1:20">
      <c r="A15" s="146">
        <v>165</v>
      </c>
      <c r="B15" s="31"/>
      <c r="C15" s="31"/>
      <c r="D15" s="31">
        <f>$T15-SUM($B15:C15)</f>
        <v>120000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1">
        <f t="shared" si="0"/>
        <v>120000</v>
      </c>
      <c r="T15" s="2">
        <f>Resource!P16</f>
        <v>120000</v>
      </c>
    </row>
    <row r="16" spans="1:20">
      <c r="A16" s="146">
        <v>160</v>
      </c>
      <c r="B16" s="31"/>
      <c r="C16" s="31"/>
      <c r="D16" s="31">
        <f>$T16-SUM($B16:C16)</f>
        <v>90000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11">
        <f t="shared" si="0"/>
        <v>90000</v>
      </c>
      <c r="T16" s="2">
        <f>Resource!P17</f>
        <v>90000</v>
      </c>
    </row>
    <row r="17" spans="1:24">
      <c r="A17" s="146">
        <v>155</v>
      </c>
      <c r="B17" s="31"/>
      <c r="C17" s="31"/>
      <c r="D17" s="31"/>
      <c r="E17" s="31">
        <f>IF(Resource!$P18=0,0,E209/$S209*Resource!$P18)</f>
        <v>24000</v>
      </c>
      <c r="F17" s="31">
        <f>IF(Resource!$P18=0,0,F209/$S209*Resource!$P18)</f>
        <v>0</v>
      </c>
      <c r="G17" s="31">
        <f>IF(Resource!$P18=0,0,G209/$S209*Resource!$P18)</f>
        <v>0</v>
      </c>
      <c r="H17" s="31">
        <f>IF(Resource!$P18=0,0,H209/$S209*Resource!$P18)</f>
        <v>0</v>
      </c>
      <c r="I17" s="31">
        <f>IF(Resource!$P18=0,0,I209/$S209*Resource!$P18)</f>
        <v>0</v>
      </c>
      <c r="J17" s="31">
        <f>IF(Resource!$P18=0,0,J209/$S209*Resource!$P18)</f>
        <v>0</v>
      </c>
      <c r="K17" s="31">
        <f>IF(Resource!$P18=0,0,K209/$S209*Resource!$P18)</f>
        <v>0</v>
      </c>
      <c r="L17" s="31">
        <f>IF(Resource!$P18=0,0,L209/$S209*Resource!$P18)</f>
        <v>0</v>
      </c>
      <c r="M17" s="31">
        <f>IF(Resource!$P18=0,0,M209/$S209*Resource!$P18)</f>
        <v>0</v>
      </c>
      <c r="N17" s="31">
        <f>IF(Resource!$P18=0,0,N209/$S209*Resource!$P18)</f>
        <v>0</v>
      </c>
      <c r="O17" s="31">
        <f>IF(Resource!$P18=0,0,O209/$S209*Resource!$P18)</f>
        <v>0</v>
      </c>
      <c r="P17" s="31">
        <f>IF(Resource!$P18=0,0,P209/$S209*Resource!$P18)</f>
        <v>0</v>
      </c>
      <c r="Q17" s="31">
        <f>IF(Resource!$P18=0,0,Q209/$S209*Resource!$P18)</f>
        <v>0</v>
      </c>
      <c r="R17" s="31"/>
      <c r="S17" s="11">
        <f t="shared" si="0"/>
        <v>24000</v>
      </c>
      <c r="T17" s="2">
        <f>Resource!P18</f>
        <v>24000</v>
      </c>
      <c r="X17" s="31"/>
    </row>
    <row r="18" spans="1:24">
      <c r="A18" s="146">
        <v>150</v>
      </c>
      <c r="B18" s="31"/>
      <c r="C18" s="31"/>
      <c r="D18" s="31"/>
      <c r="E18" s="31">
        <f>IF(Resource!$P19=0,0,E210/$S210*Resource!$P19)</f>
        <v>0</v>
      </c>
      <c r="F18" s="31">
        <f>IF(Resource!$P19=0,0,F210/$S210*Resource!$P19)</f>
        <v>0</v>
      </c>
      <c r="G18" s="31">
        <f>IF(Resource!$P19=0,0,G210/$S210*Resource!$P19)</f>
        <v>0</v>
      </c>
      <c r="H18" s="31">
        <f>IF(Resource!$P19=0,0,H210/$S210*Resource!$P19)</f>
        <v>0</v>
      </c>
      <c r="I18" s="31">
        <f>IF(Resource!$P19=0,0,I210/$S210*Resource!$P19)</f>
        <v>0</v>
      </c>
      <c r="J18" s="31">
        <f>IF(Resource!$P19=0,0,J210/$S210*Resource!$P19)</f>
        <v>0</v>
      </c>
      <c r="K18" s="31">
        <f>IF(Resource!$P19=0,0,K210/$S210*Resource!$P19)</f>
        <v>0</v>
      </c>
      <c r="L18" s="31">
        <f>IF(Resource!$P19=0,0,L210/$S210*Resource!$P19)</f>
        <v>0</v>
      </c>
      <c r="M18" s="31">
        <f>IF(Resource!$P19=0,0,M210/$S210*Resource!$P19)</f>
        <v>0</v>
      </c>
      <c r="N18" s="31">
        <f>IF(Resource!$P19=0,0,N210/$S210*Resource!$P19)</f>
        <v>0</v>
      </c>
      <c r="O18" s="31">
        <f>IF(Resource!$P19=0,0,O210/$S210*Resource!$P19)</f>
        <v>0</v>
      </c>
      <c r="P18" s="31">
        <f>IF(Resource!$P19=0,0,P210/$S210*Resource!$P19)</f>
        <v>0</v>
      </c>
      <c r="Q18" s="31">
        <f>IF(Resource!$P19=0,0,Q210/$S210*Resource!$P19)</f>
        <v>0</v>
      </c>
      <c r="R18" s="31"/>
      <c r="S18" s="11">
        <f t="shared" si="0"/>
        <v>0</v>
      </c>
      <c r="T18" s="2">
        <f>Resource!P19</f>
        <v>0</v>
      </c>
    </row>
    <row r="19" spans="1:24">
      <c r="A19" s="146">
        <v>145</v>
      </c>
      <c r="B19" s="31"/>
      <c r="C19" s="31"/>
      <c r="D19" s="31"/>
      <c r="E19" s="31">
        <f>IF(Resource!$P20=0,0,E211/$S211*Resource!$P20)</f>
        <v>0</v>
      </c>
      <c r="F19" s="31">
        <f>IF(Resource!$P20=0,0,F211/$S211*Resource!$P20)</f>
        <v>0</v>
      </c>
      <c r="G19" s="31">
        <f>IF(Resource!$P20=0,0,G211/$S211*Resource!$P20)</f>
        <v>0</v>
      </c>
      <c r="H19" s="31">
        <f>IF(Resource!$P20=0,0,H211/$S211*Resource!$P20)</f>
        <v>0</v>
      </c>
      <c r="I19" s="31">
        <f>IF(Resource!$P20=0,0,I211/$S211*Resource!$P20)</f>
        <v>0</v>
      </c>
      <c r="J19" s="31">
        <f>IF(Resource!$P20=0,0,J211/$S211*Resource!$P20)</f>
        <v>0</v>
      </c>
      <c r="K19" s="31">
        <f>IF(Resource!$P20=0,0,K211/$S211*Resource!$P20)</f>
        <v>0</v>
      </c>
      <c r="L19" s="31">
        <f>IF(Resource!$P20=0,0,L211/$S211*Resource!$P20)</f>
        <v>0</v>
      </c>
      <c r="M19" s="31">
        <f>IF(Resource!$P20=0,0,M211/$S211*Resource!$P20)</f>
        <v>0</v>
      </c>
      <c r="N19" s="31">
        <f>IF(Resource!$P20=0,0,N211/$S211*Resource!$P20)</f>
        <v>0</v>
      </c>
      <c r="O19" s="31">
        <f>IF(Resource!$P20=0,0,O211/$S211*Resource!$P20)</f>
        <v>0</v>
      </c>
      <c r="P19" s="31">
        <f>IF(Resource!$P20=0,0,P211/$S211*Resource!$P20)</f>
        <v>0</v>
      </c>
      <c r="Q19" s="31">
        <f>IF(Resource!$P20=0,0,Q211/$S211*Resource!$P20)</f>
        <v>0</v>
      </c>
      <c r="R19" s="31"/>
      <c r="S19" s="11">
        <f t="shared" si="0"/>
        <v>0</v>
      </c>
      <c r="T19" s="2">
        <f>Resource!P20</f>
        <v>0</v>
      </c>
    </row>
    <row r="20" spans="1:24">
      <c r="A20" s="146">
        <v>140</v>
      </c>
      <c r="B20" s="31"/>
      <c r="C20" s="31"/>
      <c r="D20" s="31"/>
      <c r="E20" s="31">
        <f>IF(Resource!$P21=0,0,E212/$S212*Resource!$P21)</f>
        <v>0</v>
      </c>
      <c r="F20" s="31">
        <f>IF(Resource!$P21=0,0,F212/$S212*Resource!$P21)</f>
        <v>0</v>
      </c>
      <c r="G20" s="31">
        <f>IF(Resource!$P21=0,0,G212/$S212*Resource!$P21)</f>
        <v>0</v>
      </c>
      <c r="H20" s="31">
        <f>IF(Resource!$P21=0,0,H212/$S212*Resource!$P21)</f>
        <v>0</v>
      </c>
      <c r="I20" s="31">
        <f>IF(Resource!$P21=0,0,I212/$S212*Resource!$P21)</f>
        <v>0</v>
      </c>
      <c r="J20" s="31">
        <f>IF(Resource!$P21=0,0,J212/$S212*Resource!$P21)</f>
        <v>0</v>
      </c>
      <c r="K20" s="31">
        <f>IF(Resource!$P21=0,0,K212/$S212*Resource!$P21)</f>
        <v>0</v>
      </c>
      <c r="L20" s="31">
        <f>IF(Resource!$P21=0,0,L212/$S212*Resource!$P21)</f>
        <v>0</v>
      </c>
      <c r="M20" s="31">
        <f>IF(Resource!$P21=0,0,M212/$S212*Resource!$P21)</f>
        <v>0</v>
      </c>
      <c r="N20" s="31">
        <f>IF(Resource!$P21=0,0,N212/$S212*Resource!$P21)</f>
        <v>0</v>
      </c>
      <c r="O20" s="31">
        <f>IF(Resource!$P21=0,0,O212/$S212*Resource!$P21)</f>
        <v>0</v>
      </c>
      <c r="P20" s="31">
        <f>IF(Resource!$P21=0,0,P212/$S212*Resource!$P21)</f>
        <v>0</v>
      </c>
      <c r="Q20" s="31">
        <f>IF(Resource!$P21=0,0,Q212/$S212*Resource!$P21)</f>
        <v>0</v>
      </c>
      <c r="R20" s="31"/>
      <c r="S20" s="11">
        <f t="shared" si="0"/>
        <v>0</v>
      </c>
      <c r="T20" s="2">
        <f>Resource!P21</f>
        <v>0</v>
      </c>
    </row>
    <row r="21" spans="1:24">
      <c r="A21" s="146">
        <v>135</v>
      </c>
      <c r="B21" s="31"/>
      <c r="C21" s="31"/>
      <c r="D21" s="31"/>
      <c r="E21" s="31">
        <f>IF(Resource!$P22=0,0,E213/$S213*Resource!$P22)</f>
        <v>0</v>
      </c>
      <c r="F21" s="31">
        <f>IF(Resource!$P22=0,0,F213/$S213*Resource!$P22)</f>
        <v>0</v>
      </c>
      <c r="G21" s="31">
        <f>IF(Resource!$P22=0,0,G213/$S213*Resource!$P22)</f>
        <v>0</v>
      </c>
      <c r="H21" s="31">
        <f>IF(Resource!$P22=0,0,H213/$S213*Resource!$P22)</f>
        <v>0</v>
      </c>
      <c r="I21" s="31">
        <f>IF(Resource!$P22=0,0,I213/$S213*Resource!$P22)</f>
        <v>0</v>
      </c>
      <c r="J21" s="31">
        <f>IF(Resource!$P22=0,0,J213/$S213*Resource!$P22)</f>
        <v>0</v>
      </c>
      <c r="K21" s="31">
        <f>IF(Resource!$P22=0,0,K213/$S213*Resource!$P22)</f>
        <v>0</v>
      </c>
      <c r="L21" s="31">
        <f>IF(Resource!$P22=0,0,L213/$S213*Resource!$P22)</f>
        <v>0</v>
      </c>
      <c r="M21" s="31">
        <f>IF(Resource!$P22=0,0,M213/$S213*Resource!$P22)</f>
        <v>0</v>
      </c>
      <c r="N21" s="31">
        <f>IF(Resource!$P22=0,0,N213/$S213*Resource!$P22)</f>
        <v>0</v>
      </c>
      <c r="O21" s="31">
        <f>IF(Resource!$P22=0,0,O213/$S213*Resource!$P22)</f>
        <v>0</v>
      </c>
      <c r="P21" s="31">
        <f>IF(Resource!$P22=0,0,P213/$S213*Resource!$P22)</f>
        <v>0</v>
      </c>
      <c r="Q21" s="31">
        <f>IF(Resource!$P22=0,0,Q213/$S213*Resource!$P22)</f>
        <v>0</v>
      </c>
      <c r="R21" s="31"/>
      <c r="S21" s="11">
        <f t="shared" si="0"/>
        <v>0</v>
      </c>
      <c r="T21" s="2">
        <f>Resource!P22</f>
        <v>0</v>
      </c>
    </row>
    <row r="22" spans="1:24">
      <c r="A22" s="146">
        <v>130</v>
      </c>
      <c r="B22" s="31"/>
      <c r="C22" s="31"/>
      <c r="D22" s="31"/>
      <c r="E22" s="31">
        <f>IF(Resource!$P23=0,0,E214/$S214*Resource!$P23)</f>
        <v>0</v>
      </c>
      <c r="F22" s="31">
        <f>IF(Resource!$P23=0,0,F214/$S214*Resource!$P23)</f>
        <v>0</v>
      </c>
      <c r="G22" s="31">
        <f>IF(Resource!$P23=0,0,G214/$S214*Resource!$P23)</f>
        <v>0</v>
      </c>
      <c r="H22" s="31">
        <f>IF(Resource!$P23=0,0,H214/$S214*Resource!$P23)</f>
        <v>0</v>
      </c>
      <c r="I22" s="31">
        <f>IF(Resource!$P23=0,0,I214/$S214*Resource!$P23)</f>
        <v>0</v>
      </c>
      <c r="J22" s="31">
        <f>IF(Resource!$P23=0,0,J214/$S214*Resource!$P23)</f>
        <v>0</v>
      </c>
      <c r="K22" s="31">
        <f>IF(Resource!$P23=0,0,K214/$S214*Resource!$P23)</f>
        <v>0</v>
      </c>
      <c r="L22" s="31">
        <f>IF(Resource!$P23=0,0,L214/$S214*Resource!$P23)</f>
        <v>0</v>
      </c>
      <c r="M22" s="31">
        <f>IF(Resource!$P23=0,0,M214/$S214*Resource!$P23)</f>
        <v>0</v>
      </c>
      <c r="N22" s="31">
        <f>IF(Resource!$P23=0,0,N214/$S214*Resource!$P23)</f>
        <v>0</v>
      </c>
      <c r="O22" s="31">
        <f>IF(Resource!$P23=0,0,O214/$S214*Resource!$P23)</f>
        <v>0</v>
      </c>
      <c r="P22" s="31">
        <f>IF(Resource!$P23=0,0,P214/$S214*Resource!$P23)</f>
        <v>0</v>
      </c>
      <c r="Q22" s="31">
        <f>IF(Resource!$P23=0,0,Q214/$S214*Resource!$P23)</f>
        <v>0</v>
      </c>
      <c r="R22" s="31"/>
      <c r="S22" s="11">
        <f t="shared" si="0"/>
        <v>0</v>
      </c>
      <c r="T22" s="2">
        <f>Resource!P23</f>
        <v>0</v>
      </c>
    </row>
    <row r="23" spans="1:24">
      <c r="A23" s="146">
        <v>125</v>
      </c>
      <c r="B23" s="31"/>
      <c r="C23" s="31"/>
      <c r="D23" s="31"/>
      <c r="E23" s="31">
        <f>IF(Resource!$P24=0,0,E215/$S215*Resource!$P24)</f>
        <v>0</v>
      </c>
      <c r="F23" s="31">
        <f>IF(Resource!$P24=0,0,F215/$S215*Resource!$P24)</f>
        <v>0</v>
      </c>
      <c r="G23" s="31">
        <f>IF(Resource!$P24=0,0,G215/$S215*Resource!$P24)</f>
        <v>0</v>
      </c>
      <c r="H23" s="31">
        <f>IF(Resource!$P24=0,0,H215/$S215*Resource!$P24)</f>
        <v>0</v>
      </c>
      <c r="I23" s="31">
        <f>IF(Resource!$P24=0,0,I215/$S215*Resource!$P24)</f>
        <v>0</v>
      </c>
      <c r="J23" s="31">
        <f>IF(Resource!$P24=0,0,J215/$S215*Resource!$P24)</f>
        <v>0</v>
      </c>
      <c r="K23" s="31">
        <f>IF(Resource!$P24=0,0,K215/$S215*Resource!$P24)</f>
        <v>0</v>
      </c>
      <c r="L23" s="31">
        <f>IF(Resource!$P24=0,0,L215/$S215*Resource!$P24)</f>
        <v>0</v>
      </c>
      <c r="M23" s="31">
        <f>IF(Resource!$P24=0,0,M215/$S215*Resource!$P24)</f>
        <v>0</v>
      </c>
      <c r="N23" s="31">
        <f>IF(Resource!$P24=0,0,N215/$S215*Resource!$P24)</f>
        <v>0</v>
      </c>
      <c r="O23" s="31">
        <f>IF(Resource!$P24=0,0,O215/$S215*Resource!$P24)</f>
        <v>0</v>
      </c>
      <c r="P23" s="31">
        <f>IF(Resource!$P24=0,0,P215/$S215*Resource!$P24)</f>
        <v>0</v>
      </c>
      <c r="Q23" s="31">
        <f>IF(Resource!$P24=0,0,Q215/$S215*Resource!$P24)</f>
        <v>0</v>
      </c>
      <c r="R23" s="31"/>
      <c r="S23" s="11">
        <f t="shared" si="0"/>
        <v>0</v>
      </c>
      <c r="T23" s="2">
        <f>Resource!P24</f>
        <v>0</v>
      </c>
    </row>
    <row r="24" spans="1:24">
      <c r="A24" s="146">
        <v>120</v>
      </c>
      <c r="B24" s="31"/>
      <c r="C24" s="31"/>
      <c r="D24" s="31"/>
      <c r="E24" s="31">
        <f>IF(Resource!$P25=0,0,E216/$S216*Resource!$P25)</f>
        <v>0</v>
      </c>
      <c r="F24" s="31">
        <f>IF(Resource!$P25=0,0,F216/$S216*Resource!$P25)</f>
        <v>0</v>
      </c>
      <c r="G24" s="31">
        <f>IF(Resource!$P25=0,0,G216/$S216*Resource!$P25)</f>
        <v>0</v>
      </c>
      <c r="H24" s="31">
        <f>IF(Resource!$P25=0,0,H216/$S216*Resource!$P25)</f>
        <v>0</v>
      </c>
      <c r="I24" s="31">
        <f>IF(Resource!$P25=0,0,I216/$S216*Resource!$P25)</f>
        <v>0</v>
      </c>
      <c r="J24" s="31">
        <f>IF(Resource!$P25=0,0,J216/$S216*Resource!$P25)</f>
        <v>0</v>
      </c>
      <c r="K24" s="31">
        <f>IF(Resource!$P25=0,0,K216/$S216*Resource!$P25)</f>
        <v>0</v>
      </c>
      <c r="L24" s="31">
        <f>IF(Resource!$P25=0,0,L216/$S216*Resource!$P25)</f>
        <v>0</v>
      </c>
      <c r="M24" s="31">
        <f>IF(Resource!$P25=0,0,M216/$S216*Resource!$P25)</f>
        <v>0</v>
      </c>
      <c r="N24" s="31">
        <f>IF(Resource!$P25=0,0,N216/$S216*Resource!$P25)</f>
        <v>0</v>
      </c>
      <c r="O24" s="31">
        <f>IF(Resource!$P25=0,0,O216/$S216*Resource!$P25)</f>
        <v>0</v>
      </c>
      <c r="P24" s="31">
        <f>IF(Resource!$P25=0,0,P216/$S216*Resource!$P25)</f>
        <v>0</v>
      </c>
      <c r="Q24" s="31">
        <f>IF(Resource!$P25=0,0,Q216/$S216*Resource!$P25)</f>
        <v>0</v>
      </c>
      <c r="R24" s="31"/>
      <c r="S24" s="11">
        <f t="shared" si="0"/>
        <v>0</v>
      </c>
      <c r="T24" s="2">
        <f>Resource!P25</f>
        <v>0</v>
      </c>
    </row>
    <row r="25" spans="1:24">
      <c r="A25" s="146">
        <v>115</v>
      </c>
      <c r="B25" s="31"/>
      <c r="C25" s="31"/>
      <c r="D25" s="31"/>
      <c r="E25" s="31">
        <f>IF(Resource!$P26=0,0,E217/$S217*Resource!$P26)</f>
        <v>0</v>
      </c>
      <c r="F25" s="31">
        <f>IF(Resource!$P26=0,0,F217/$S217*Resource!$P26)</f>
        <v>0</v>
      </c>
      <c r="G25" s="31">
        <f>IF(Resource!$P26=0,0,G217/$S217*Resource!$P26)</f>
        <v>0</v>
      </c>
      <c r="H25" s="31">
        <f>IF(Resource!$P26=0,0,H217/$S217*Resource!$P26)</f>
        <v>0</v>
      </c>
      <c r="I25" s="31">
        <f>IF(Resource!$P26=0,0,I217/$S217*Resource!$P26)</f>
        <v>0</v>
      </c>
      <c r="J25" s="31">
        <f>IF(Resource!$P26=0,0,J217/$S217*Resource!$P26)</f>
        <v>0</v>
      </c>
      <c r="K25" s="31">
        <f>IF(Resource!$P26=0,0,K217/$S217*Resource!$P26)</f>
        <v>0</v>
      </c>
      <c r="L25" s="31">
        <f>IF(Resource!$P26=0,0,L217/$S217*Resource!$P26)</f>
        <v>0</v>
      </c>
      <c r="M25" s="31">
        <f>IF(Resource!$P26=0,0,M217/$S217*Resource!$P26)</f>
        <v>0</v>
      </c>
      <c r="N25" s="31">
        <f>IF(Resource!$P26=0,0,N217/$S217*Resource!$P26)</f>
        <v>0</v>
      </c>
      <c r="O25" s="31">
        <f>IF(Resource!$P26=0,0,O217/$S217*Resource!$P26)</f>
        <v>0</v>
      </c>
      <c r="P25" s="31">
        <f>IF(Resource!$P26=0,0,P217/$S217*Resource!$P26)</f>
        <v>0</v>
      </c>
      <c r="Q25" s="31">
        <f>IF(Resource!$P26=0,0,Q217/$S217*Resource!$P26)</f>
        <v>0</v>
      </c>
      <c r="R25" s="31"/>
      <c r="S25" s="11">
        <f t="shared" si="0"/>
        <v>0</v>
      </c>
      <c r="T25" s="2">
        <f>Resource!P26</f>
        <v>0</v>
      </c>
    </row>
    <row r="26" spans="1:24">
      <c r="A26" s="146">
        <v>110</v>
      </c>
      <c r="B26" s="31"/>
      <c r="C26" s="31"/>
      <c r="D26" s="31"/>
      <c r="E26" s="31">
        <f>IF(Resource!$P27=0,0,E218/$S218*Resource!$P27)</f>
        <v>0</v>
      </c>
      <c r="F26" s="31">
        <f>IF(Resource!$P27=0,0,F218/$S218*Resource!$P27)</f>
        <v>0</v>
      </c>
      <c r="G26" s="31">
        <f>IF(Resource!$P27=0,0,G218/$S218*Resource!$P27)</f>
        <v>0</v>
      </c>
      <c r="H26" s="31">
        <f>IF(Resource!$P27=0,0,H218/$S218*Resource!$P27)</f>
        <v>0</v>
      </c>
      <c r="I26" s="31">
        <f>IF(Resource!$P27=0,0,I218/$S218*Resource!$P27)</f>
        <v>0</v>
      </c>
      <c r="J26" s="31">
        <f>IF(Resource!$P27=0,0,J218/$S218*Resource!$P27)</f>
        <v>0</v>
      </c>
      <c r="K26" s="31">
        <f>IF(Resource!$P27=0,0,K218/$S218*Resource!$P27)</f>
        <v>0</v>
      </c>
      <c r="L26" s="31">
        <f>IF(Resource!$P27=0,0,L218/$S218*Resource!$P27)</f>
        <v>0</v>
      </c>
      <c r="M26" s="31">
        <f>IF(Resource!$P27=0,0,M218/$S218*Resource!$P27)</f>
        <v>0</v>
      </c>
      <c r="N26" s="31">
        <f>IF(Resource!$P27=0,0,N218/$S218*Resource!$P27)</f>
        <v>0</v>
      </c>
      <c r="O26" s="31">
        <f>IF(Resource!$P27=0,0,O218/$S218*Resource!$P27)</f>
        <v>0</v>
      </c>
      <c r="P26" s="31">
        <f>IF(Resource!$P27=0,0,P218/$S218*Resource!$P27)</f>
        <v>0</v>
      </c>
      <c r="Q26" s="31">
        <f>IF(Resource!$P27=0,0,Q218/$S218*Resource!$P27)</f>
        <v>0</v>
      </c>
      <c r="R26" s="31"/>
      <c r="S26" s="11">
        <f t="shared" si="0"/>
        <v>0</v>
      </c>
      <c r="T26" s="2">
        <f>Resource!P27</f>
        <v>0</v>
      </c>
    </row>
    <row r="27" spans="1:24">
      <c r="A27" s="112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11"/>
    </row>
    <row r="28" spans="1:24">
      <c r="A28" s="39" t="s">
        <v>179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11"/>
    </row>
    <row r="29" spans="1:24">
      <c r="A29" s="146">
        <v>150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11">
        <f t="shared" ref="S29:S59" si="1">SUM(B29:R29)</f>
        <v>0</v>
      </c>
      <c r="T29" s="2">
        <f>Resource!P30</f>
        <v>0</v>
      </c>
    </row>
    <row r="30" spans="1:24">
      <c r="A30" s="146">
        <v>145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11">
        <f t="shared" si="1"/>
        <v>0</v>
      </c>
      <c r="T30" s="2">
        <f>Resource!P31</f>
        <v>0</v>
      </c>
    </row>
    <row r="31" spans="1:24">
      <c r="A31" s="146">
        <v>140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11">
        <f t="shared" si="1"/>
        <v>0</v>
      </c>
      <c r="T31" s="2">
        <f>Resource!P32</f>
        <v>0</v>
      </c>
    </row>
    <row r="32" spans="1:24">
      <c r="A32" s="146">
        <v>135</v>
      </c>
      <c r="B32" s="31"/>
      <c r="C32" s="31"/>
      <c r="D32" s="31"/>
      <c r="E32" s="31"/>
      <c r="F32" s="31">
        <f>$T32-SUM($B32:E32)</f>
        <v>20000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11">
        <f t="shared" si="1"/>
        <v>20000</v>
      </c>
      <c r="T32" s="2">
        <f>Resource!P33</f>
        <v>20000</v>
      </c>
    </row>
    <row r="33" spans="1:20">
      <c r="A33" s="146">
        <v>130</v>
      </c>
      <c r="B33" s="31"/>
      <c r="C33" s="31"/>
      <c r="D33" s="31"/>
      <c r="E33" s="31"/>
      <c r="F33" s="31">
        <v>60000</v>
      </c>
      <c r="G33" s="31">
        <f>$T33-SUM($B33:F33)</f>
        <v>108000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11">
        <f t="shared" si="1"/>
        <v>168000</v>
      </c>
      <c r="T33" s="2">
        <f>Resource!P34</f>
        <v>168000</v>
      </c>
    </row>
    <row r="34" spans="1:20">
      <c r="A34" s="146">
        <v>125</v>
      </c>
      <c r="B34" s="31"/>
      <c r="C34" s="31"/>
      <c r="D34" s="31"/>
      <c r="E34" s="31">
        <f>IF(Resource!$P35=0,0,E226/$S226*Resource!$P35)</f>
        <v>0</v>
      </c>
      <c r="F34" s="31">
        <f>IF(Resource!$P35=0,0,F226/$S226*Resource!$P35)</f>
        <v>0</v>
      </c>
      <c r="G34" s="31">
        <f>IF(Resource!$P35=0,0,G226/$S226*Resource!$P35)</f>
        <v>0</v>
      </c>
      <c r="H34" s="31">
        <f>IF(Resource!$P35=0,0,H226/$S226*Resource!$P35)</f>
        <v>0</v>
      </c>
      <c r="I34" s="31">
        <f>IF(Resource!$P35=0,0,I226/$S226*Resource!$P35)</f>
        <v>0</v>
      </c>
      <c r="J34" s="31">
        <f>IF(Resource!$P35=0,0,J226/$S226*Resource!$P35)</f>
        <v>0</v>
      </c>
      <c r="K34" s="31">
        <f>IF(Resource!$P35=0,0,K226/$S226*Resource!$P35)</f>
        <v>0</v>
      </c>
      <c r="L34" s="31">
        <f>IF(Resource!$P35=0,0,L226/$S226*Resource!$P35)</f>
        <v>0</v>
      </c>
      <c r="M34" s="31">
        <f>IF(Resource!$P35=0,0,M226/$S226*Resource!$P35)</f>
        <v>0</v>
      </c>
      <c r="N34" s="31">
        <f>IF(Resource!$P35=0,0,N226/$S226*Resource!$P35)</f>
        <v>0</v>
      </c>
      <c r="O34" s="31">
        <f>IF(Resource!$P35=0,0,O226/$S226*Resource!$P35)</f>
        <v>0</v>
      </c>
      <c r="P34" s="31">
        <f>IF(Resource!$P35=0,0,P226/$S226*Resource!$P35)</f>
        <v>0</v>
      </c>
      <c r="Q34" s="31">
        <f>IF(Resource!$P35=0,0,Q226/$S226*Resource!$P35)</f>
        <v>0</v>
      </c>
      <c r="R34" s="31"/>
      <c r="S34" s="11">
        <f t="shared" si="1"/>
        <v>0</v>
      </c>
      <c r="T34" s="2">
        <f>Resource!P35</f>
        <v>0</v>
      </c>
    </row>
    <row r="35" spans="1:20">
      <c r="A35" s="146">
        <v>120</v>
      </c>
      <c r="B35" s="31"/>
      <c r="C35" s="31"/>
      <c r="D35" s="31"/>
      <c r="E35" s="31">
        <f>IF(Resource!$P36=0,0,E227/$S227*Resource!$P36)</f>
        <v>0</v>
      </c>
      <c r="F35" s="31">
        <f>IF(Resource!$P36=0,0,F227/$S227*Resource!$P36)</f>
        <v>0</v>
      </c>
      <c r="G35" s="31">
        <f>IF(Resource!$P36=0,0,G227/$S227*Resource!$P36)</f>
        <v>0</v>
      </c>
      <c r="H35" s="31">
        <f>IF(Resource!$P36=0,0,H227/$S227*Resource!$P36)</f>
        <v>0</v>
      </c>
      <c r="I35" s="31">
        <f>IF(Resource!$P36=0,0,I227/$S227*Resource!$P36)</f>
        <v>0</v>
      </c>
      <c r="J35" s="31">
        <f>IF(Resource!$P36=0,0,J227/$S227*Resource!$P36)</f>
        <v>0</v>
      </c>
      <c r="K35" s="31">
        <f>IF(Resource!$P36=0,0,K227/$S227*Resource!$P36)</f>
        <v>0</v>
      </c>
      <c r="L35" s="31">
        <f>IF(Resource!$P36=0,0,L227/$S227*Resource!$P36)</f>
        <v>0</v>
      </c>
      <c r="M35" s="31">
        <f>IF(Resource!$P36=0,0,M227/$S227*Resource!$P36)</f>
        <v>0</v>
      </c>
      <c r="N35" s="31">
        <f>IF(Resource!$P36=0,0,N227/$S227*Resource!$P36)</f>
        <v>0</v>
      </c>
      <c r="O35" s="31">
        <f>IF(Resource!$P36=0,0,O227/$S227*Resource!$P36)</f>
        <v>0</v>
      </c>
      <c r="P35" s="31">
        <f>IF(Resource!$P36=0,0,P227/$S227*Resource!$P36)</f>
        <v>0</v>
      </c>
      <c r="Q35" s="31">
        <f>IF(Resource!$P36=0,0,Q227/$S227*Resource!$P36)</f>
        <v>0</v>
      </c>
      <c r="R35" s="31"/>
      <c r="S35" s="11">
        <f t="shared" si="1"/>
        <v>0</v>
      </c>
      <c r="T35" s="2">
        <f>Resource!P36</f>
        <v>0</v>
      </c>
    </row>
    <row r="36" spans="1:20">
      <c r="A36" s="146">
        <v>115</v>
      </c>
      <c r="B36" s="31"/>
      <c r="C36" s="31"/>
      <c r="D36" s="31"/>
      <c r="E36" s="31">
        <f>IF(Resource!$P37=0,0,E228/$S228*Resource!$P37)</f>
        <v>0</v>
      </c>
      <c r="F36" s="31">
        <f>IF(Resource!$P37=0,0,F228/$S228*Resource!$P37)</f>
        <v>0</v>
      </c>
      <c r="G36" s="31">
        <f>IF(Resource!$P37=0,0,G228/$S228*Resource!$P37)</f>
        <v>0</v>
      </c>
      <c r="H36" s="31">
        <f>IF(Resource!$P37=0,0,H228/$S228*Resource!$P37)</f>
        <v>0</v>
      </c>
      <c r="I36" s="31">
        <f>IF(Resource!$P37=0,0,I228/$S228*Resource!$P37)</f>
        <v>0</v>
      </c>
      <c r="J36" s="31">
        <f>IF(Resource!$P37=0,0,J228/$S228*Resource!$P37)</f>
        <v>0</v>
      </c>
      <c r="K36" s="31">
        <f>IF(Resource!$P37=0,0,K228/$S228*Resource!$P37)</f>
        <v>0</v>
      </c>
      <c r="L36" s="31">
        <f>IF(Resource!$P37=0,0,L228/$S228*Resource!$P37)</f>
        <v>0</v>
      </c>
      <c r="M36" s="31">
        <f>IF(Resource!$P37=0,0,M228/$S228*Resource!$P37)</f>
        <v>0</v>
      </c>
      <c r="N36" s="31">
        <f>IF(Resource!$P37=0,0,N228/$S228*Resource!$P37)</f>
        <v>0</v>
      </c>
      <c r="O36" s="31">
        <f>IF(Resource!$P37=0,0,O228/$S228*Resource!$P37)</f>
        <v>0</v>
      </c>
      <c r="P36" s="31">
        <f>IF(Resource!$P37=0,0,P228/$S228*Resource!$P37)</f>
        <v>0</v>
      </c>
      <c r="Q36" s="31">
        <f>IF(Resource!$P37=0,0,Q228/$S228*Resource!$P37)</f>
        <v>0</v>
      </c>
      <c r="R36" s="31"/>
      <c r="S36" s="11">
        <f t="shared" si="1"/>
        <v>0</v>
      </c>
      <c r="T36" s="2">
        <f>Resource!P37</f>
        <v>0</v>
      </c>
    </row>
    <row r="37" spans="1:20">
      <c r="A37" s="146">
        <v>110</v>
      </c>
      <c r="B37" s="31"/>
      <c r="C37" s="31"/>
      <c r="D37" s="31"/>
      <c r="E37" s="31">
        <f>IF(Resource!$P38=0,0,E229/$S229*Resource!$P38)</f>
        <v>0</v>
      </c>
      <c r="F37" s="31">
        <f>IF(Resource!$P38=0,0,F229/$S229*Resource!$P38)</f>
        <v>0</v>
      </c>
      <c r="G37" s="31">
        <f>IF(Resource!$P38=0,0,G229/$S229*Resource!$P38)</f>
        <v>0</v>
      </c>
      <c r="H37" s="31">
        <f>IF(Resource!$P38=0,0,H229/$S229*Resource!$P38)</f>
        <v>0</v>
      </c>
      <c r="I37" s="31">
        <f>IF(Resource!$P38=0,0,I229/$S229*Resource!$P38)</f>
        <v>0</v>
      </c>
      <c r="J37" s="31">
        <f>IF(Resource!$P38=0,0,J229/$S229*Resource!$P38)</f>
        <v>0</v>
      </c>
      <c r="K37" s="31">
        <f>IF(Resource!$P38=0,0,K229/$S229*Resource!$P38)</f>
        <v>0</v>
      </c>
      <c r="L37" s="31">
        <f>IF(Resource!$P38=0,0,L229/$S229*Resource!$P38)</f>
        <v>0</v>
      </c>
      <c r="M37" s="31">
        <f>IF(Resource!$P38=0,0,M229/$S229*Resource!$P38)</f>
        <v>0</v>
      </c>
      <c r="N37" s="31">
        <f>IF(Resource!$P38=0,0,N229/$S229*Resource!$P38)</f>
        <v>0</v>
      </c>
      <c r="O37" s="31">
        <f>IF(Resource!$P38=0,0,O229/$S229*Resource!$P38)</f>
        <v>0</v>
      </c>
      <c r="P37" s="31">
        <f>IF(Resource!$P38=0,0,P229/$S229*Resource!$P38)</f>
        <v>0</v>
      </c>
      <c r="Q37" s="31">
        <f>IF(Resource!$P38=0,0,Q229/$S229*Resource!$P38)</f>
        <v>0</v>
      </c>
      <c r="R37" s="31"/>
      <c r="S37" s="11">
        <f t="shared" si="1"/>
        <v>0</v>
      </c>
      <c r="T37" s="2">
        <f>Resource!P38</f>
        <v>0</v>
      </c>
    </row>
    <row r="38" spans="1:20">
      <c r="A38" s="139">
        <v>105</v>
      </c>
      <c r="B38" s="31"/>
      <c r="C38" s="31"/>
      <c r="D38" s="31"/>
      <c r="E38" s="31">
        <f>IF(Resource!$P39=0,0,E230/$S230*Resource!$P39)</f>
        <v>0</v>
      </c>
      <c r="F38" s="31">
        <f>IF(Resource!$P39=0,0,F230/$S230*Resource!$P39)</f>
        <v>0</v>
      </c>
      <c r="G38" s="31">
        <f>IF(Resource!$P39=0,0,G230/$S230*Resource!$P39)</f>
        <v>0</v>
      </c>
      <c r="H38" s="31">
        <f>IF(Resource!$P39=0,0,H230/$S230*Resource!$P39)</f>
        <v>0</v>
      </c>
      <c r="I38" s="31">
        <f>IF(Resource!$P39=0,0,I230/$S230*Resource!$P39)</f>
        <v>0</v>
      </c>
      <c r="J38" s="31">
        <f>IF(Resource!$P39=0,0,J230/$S230*Resource!$P39)</f>
        <v>0</v>
      </c>
      <c r="K38" s="31">
        <f>IF(Resource!$P39=0,0,K230/$S230*Resource!$P39)</f>
        <v>0</v>
      </c>
      <c r="L38" s="31">
        <f>IF(Resource!$P39=0,0,L230/$S230*Resource!$P39)</f>
        <v>0</v>
      </c>
      <c r="M38" s="31">
        <f>IF(Resource!$P39=0,0,M230/$S230*Resource!$P39)</f>
        <v>0</v>
      </c>
      <c r="N38" s="31">
        <f>IF(Resource!$P39=0,0,N230/$S230*Resource!$P39)</f>
        <v>0</v>
      </c>
      <c r="O38" s="31">
        <f>IF(Resource!$P39=0,0,O230/$S230*Resource!$P39)</f>
        <v>0</v>
      </c>
      <c r="P38" s="31">
        <f>IF(Resource!$P39=0,0,P230/$S230*Resource!$P39)</f>
        <v>0</v>
      </c>
      <c r="Q38" s="31">
        <f>IF(Resource!$P39=0,0,Q230/$S230*Resource!$P39)</f>
        <v>0</v>
      </c>
      <c r="R38" s="31"/>
      <c r="S38" s="11">
        <f t="shared" si="1"/>
        <v>0</v>
      </c>
      <c r="T38" s="2">
        <f>Resource!P39</f>
        <v>0</v>
      </c>
    </row>
    <row r="39" spans="1:20">
      <c r="A39" s="139">
        <v>100</v>
      </c>
      <c r="B39" s="31"/>
      <c r="C39" s="31"/>
      <c r="D39" s="31"/>
      <c r="E39" s="31">
        <f>IF(Resource!$P40=0,0,E231/$S231*Resource!$P40)</f>
        <v>0</v>
      </c>
      <c r="F39" s="31">
        <f>IF(Resource!$P40=0,0,F231/$S231*Resource!$P40)</f>
        <v>0</v>
      </c>
      <c r="G39" s="31">
        <f>IF(Resource!$P40=0,0,G231/$S231*Resource!$P40)</f>
        <v>0</v>
      </c>
      <c r="H39" s="31">
        <f>IF(Resource!$P40=0,0,H231/$S231*Resource!$P40)</f>
        <v>0</v>
      </c>
      <c r="I39" s="31">
        <f>IF(Resource!$P40=0,0,I231/$S231*Resource!$P40)</f>
        <v>0</v>
      </c>
      <c r="J39" s="31">
        <f>IF(Resource!$P40=0,0,J231/$S231*Resource!$P40)</f>
        <v>0</v>
      </c>
      <c r="K39" s="31">
        <f>IF(Resource!$P40=0,0,K231/$S231*Resource!$P40)</f>
        <v>0</v>
      </c>
      <c r="L39" s="31">
        <f>IF(Resource!$P40=0,0,L231/$S231*Resource!$P40)</f>
        <v>0</v>
      </c>
      <c r="M39" s="31">
        <f>IF(Resource!$P40=0,0,M231/$S231*Resource!$P40)</f>
        <v>0</v>
      </c>
      <c r="N39" s="31">
        <f>IF(Resource!$P40=0,0,N231/$S231*Resource!$P40)</f>
        <v>0</v>
      </c>
      <c r="O39" s="31">
        <f>IF(Resource!$P40=0,0,O231/$S231*Resource!$P40)</f>
        <v>0</v>
      </c>
      <c r="P39" s="31">
        <f>IF(Resource!$P40=0,0,P231/$S231*Resource!$P40)</f>
        <v>0</v>
      </c>
      <c r="Q39" s="31">
        <f>IF(Resource!$P40=0,0,Q231/$S231*Resource!$P40)</f>
        <v>0</v>
      </c>
      <c r="R39" s="31"/>
      <c r="S39" s="11">
        <f t="shared" si="1"/>
        <v>0</v>
      </c>
      <c r="T39" s="2">
        <f>Resource!P40</f>
        <v>0</v>
      </c>
    </row>
    <row r="40" spans="1:20">
      <c r="A40" s="139">
        <v>95</v>
      </c>
      <c r="B40" s="31"/>
      <c r="C40" s="31"/>
      <c r="D40" s="31"/>
      <c r="E40" s="31">
        <f>IF(Resource!$P41=0,0,E232/$S232*Resource!$P41)</f>
        <v>0</v>
      </c>
      <c r="F40" s="31">
        <f>IF(Resource!$P41=0,0,F232/$S232*Resource!$P41)</f>
        <v>0</v>
      </c>
      <c r="G40" s="31">
        <f>IF(Resource!$P41=0,0,G232/$S232*Resource!$P41)</f>
        <v>0</v>
      </c>
      <c r="H40" s="31">
        <f>IF(Resource!$P41=0,0,H232/$S232*Resource!$P41)</f>
        <v>0</v>
      </c>
      <c r="I40" s="31">
        <f>IF(Resource!$P41=0,0,I232/$S232*Resource!$P41)</f>
        <v>0</v>
      </c>
      <c r="J40" s="31">
        <f>IF(Resource!$P41=0,0,J232/$S232*Resource!$P41)</f>
        <v>0</v>
      </c>
      <c r="K40" s="31">
        <f>IF(Resource!$P41=0,0,K232/$S232*Resource!$P41)</f>
        <v>0</v>
      </c>
      <c r="L40" s="31">
        <f>IF(Resource!$P41=0,0,L232/$S232*Resource!$P41)</f>
        <v>0</v>
      </c>
      <c r="M40" s="31">
        <f>IF(Resource!$P41=0,0,M232/$S232*Resource!$P41)</f>
        <v>0</v>
      </c>
      <c r="N40" s="31">
        <f>IF(Resource!$P41=0,0,N232/$S232*Resource!$P41)</f>
        <v>0</v>
      </c>
      <c r="O40" s="31">
        <f>IF(Resource!$P41=0,0,O232/$S232*Resource!$P41)</f>
        <v>0</v>
      </c>
      <c r="P40" s="31">
        <f>IF(Resource!$P41=0,0,P232/$S232*Resource!$P41)</f>
        <v>0</v>
      </c>
      <c r="Q40" s="31">
        <f>IF(Resource!$P41=0,0,Q232/$S232*Resource!$P41)</f>
        <v>0</v>
      </c>
      <c r="R40" s="31"/>
      <c r="S40" s="11">
        <f t="shared" si="1"/>
        <v>0</v>
      </c>
      <c r="T40" s="2">
        <f>Resource!P41</f>
        <v>0</v>
      </c>
    </row>
    <row r="41" spans="1:20">
      <c r="A41" s="139">
        <v>90</v>
      </c>
      <c r="B41" s="31"/>
      <c r="C41" s="31"/>
      <c r="D41" s="31"/>
      <c r="E41" s="31">
        <f>IF(Resource!$P42=0,0,E233/$S233*Resource!$P42)</f>
        <v>0</v>
      </c>
      <c r="F41" s="31">
        <f>IF(Resource!$P42=0,0,F233/$S233*Resource!$P42)</f>
        <v>0</v>
      </c>
      <c r="G41" s="31">
        <f>IF(Resource!$P42=0,0,G233/$S233*Resource!$P42)</f>
        <v>0</v>
      </c>
      <c r="H41" s="31">
        <f>IF(Resource!$P42=0,0,H233/$S233*Resource!$P42)</f>
        <v>0</v>
      </c>
      <c r="I41" s="31">
        <f>IF(Resource!$P42=0,0,I233/$S233*Resource!$P42)</f>
        <v>0</v>
      </c>
      <c r="J41" s="31">
        <f>IF(Resource!$P42=0,0,J233/$S233*Resource!$P42)</f>
        <v>0</v>
      </c>
      <c r="K41" s="31">
        <f>IF(Resource!$P42=0,0,K233/$S233*Resource!$P42)</f>
        <v>0</v>
      </c>
      <c r="L41" s="31">
        <f>IF(Resource!$P42=0,0,L233/$S233*Resource!$P42)</f>
        <v>0</v>
      </c>
      <c r="M41" s="31">
        <f>IF(Resource!$P42=0,0,M233/$S233*Resource!$P42)</f>
        <v>0</v>
      </c>
      <c r="N41" s="31">
        <f>IF(Resource!$P42=0,0,N233/$S233*Resource!$P42)</f>
        <v>0</v>
      </c>
      <c r="O41" s="31">
        <f>IF(Resource!$P42=0,0,O233/$S233*Resource!$P42)</f>
        <v>0</v>
      </c>
      <c r="P41" s="31">
        <f>IF(Resource!$P42=0,0,P233/$S233*Resource!$P42)</f>
        <v>0</v>
      </c>
      <c r="Q41" s="31">
        <f>IF(Resource!$P42=0,0,Q233/$S233*Resource!$P42)</f>
        <v>0</v>
      </c>
      <c r="R41" s="31"/>
      <c r="S41" s="11">
        <f t="shared" si="1"/>
        <v>0</v>
      </c>
      <c r="T41" s="2">
        <f>Resource!P42</f>
        <v>0</v>
      </c>
    </row>
    <row r="42" spans="1:20">
      <c r="A42" s="139">
        <v>85</v>
      </c>
      <c r="B42" s="31"/>
      <c r="C42" s="31"/>
      <c r="D42" s="31"/>
      <c r="E42" s="31">
        <f>IF(Resource!$P43=0,0,E234/$S234*Resource!$P43)</f>
        <v>0</v>
      </c>
      <c r="F42" s="31">
        <f>IF(Resource!$P43=0,0,F234/$S234*Resource!$P43)</f>
        <v>0</v>
      </c>
      <c r="G42" s="31">
        <f>IF(Resource!$P43=0,0,G234/$S234*Resource!$P43)</f>
        <v>0</v>
      </c>
      <c r="H42" s="31">
        <f>IF(Resource!$P43=0,0,H234/$S234*Resource!$P43)</f>
        <v>0</v>
      </c>
      <c r="I42" s="31">
        <f>IF(Resource!$P43=0,0,I234/$S234*Resource!$P43)</f>
        <v>0</v>
      </c>
      <c r="J42" s="31">
        <f>IF(Resource!$P43=0,0,J234/$S234*Resource!$P43)</f>
        <v>0</v>
      </c>
      <c r="K42" s="31">
        <f>IF(Resource!$P43=0,0,K234/$S234*Resource!$P43)</f>
        <v>0</v>
      </c>
      <c r="L42" s="31">
        <f>IF(Resource!$P43=0,0,L234/$S234*Resource!$P43)</f>
        <v>0</v>
      </c>
      <c r="M42" s="31">
        <f>IF(Resource!$P43=0,0,M234/$S234*Resource!$P43)</f>
        <v>0</v>
      </c>
      <c r="N42" s="31">
        <f>IF(Resource!$P43=0,0,N234/$S234*Resource!$P43)</f>
        <v>0</v>
      </c>
      <c r="O42" s="31">
        <f>IF(Resource!$P43=0,0,O234/$S234*Resource!$P43)</f>
        <v>0</v>
      </c>
      <c r="P42" s="31">
        <f>IF(Resource!$P43=0,0,P234/$S234*Resource!$P43)</f>
        <v>0</v>
      </c>
      <c r="Q42" s="31">
        <f>IF(Resource!$P43=0,0,Q234/$S234*Resource!$P43)</f>
        <v>0</v>
      </c>
      <c r="R42" s="31"/>
      <c r="S42" s="11">
        <f t="shared" si="1"/>
        <v>0</v>
      </c>
      <c r="T42" s="2">
        <f>Resource!P43</f>
        <v>0</v>
      </c>
    </row>
    <row r="43" spans="1:20">
      <c r="A43" s="141">
        <v>80</v>
      </c>
      <c r="B43" s="31"/>
      <c r="C43" s="31"/>
      <c r="D43" s="31"/>
      <c r="E43" s="31">
        <f>IF(Resource!$P44=0,0,E235/$S235*Resource!$P44)</f>
        <v>0</v>
      </c>
      <c r="F43" s="31">
        <f>IF(Resource!$P44=0,0,F235/$S235*Resource!$P44)</f>
        <v>0</v>
      </c>
      <c r="G43" s="31">
        <f>IF(Resource!$P44=0,0,G235/$S235*Resource!$P44)</f>
        <v>0</v>
      </c>
      <c r="H43" s="31">
        <f>IF(Resource!$P44=0,0,H235/$S235*Resource!$P44)</f>
        <v>0</v>
      </c>
      <c r="I43" s="31">
        <f>IF(Resource!$P44=0,0,I235/$S235*Resource!$P44)</f>
        <v>0</v>
      </c>
      <c r="J43" s="31">
        <f>IF(Resource!$P44=0,0,J235/$S235*Resource!$P44)</f>
        <v>0</v>
      </c>
      <c r="K43" s="31">
        <f>IF(Resource!$P44=0,0,K235/$S235*Resource!$P44)</f>
        <v>0</v>
      </c>
      <c r="L43" s="31">
        <f>IF(Resource!$P44=0,0,L235/$S235*Resource!$P44)</f>
        <v>0</v>
      </c>
      <c r="M43" s="31">
        <f>IF(Resource!$P44=0,0,M235/$S235*Resource!$P44)</f>
        <v>0</v>
      </c>
      <c r="N43" s="31">
        <f>IF(Resource!$P44=0,0,N235/$S235*Resource!$P44)</f>
        <v>0</v>
      </c>
      <c r="O43" s="31">
        <f>IF(Resource!$P44=0,0,O235/$S235*Resource!$P44)</f>
        <v>0</v>
      </c>
      <c r="P43" s="31">
        <f>IF(Resource!$P44=0,0,P235/$S235*Resource!$P44)</f>
        <v>0</v>
      </c>
      <c r="Q43" s="31">
        <f>IF(Resource!$P44=0,0,Q235/$S235*Resource!$P44)</f>
        <v>0</v>
      </c>
      <c r="R43" s="31"/>
      <c r="S43" s="11">
        <f t="shared" si="1"/>
        <v>0</v>
      </c>
      <c r="T43" s="2">
        <f>Resource!P44</f>
        <v>0</v>
      </c>
    </row>
    <row r="44" spans="1:20">
      <c r="A44" s="141">
        <v>75</v>
      </c>
      <c r="B44" s="31"/>
      <c r="C44" s="31"/>
      <c r="D44" s="31"/>
      <c r="E44" s="31">
        <f>IF(Resource!$P45=0,0,E236/$S236*Resource!$P45)</f>
        <v>0</v>
      </c>
      <c r="F44" s="31">
        <f>IF(Resource!$P45=0,0,F236/$S236*Resource!$P45)</f>
        <v>0</v>
      </c>
      <c r="G44" s="31">
        <f>IF(Resource!$P45=0,0,G236/$S236*Resource!$P45)</f>
        <v>0</v>
      </c>
      <c r="H44" s="31">
        <f>IF(Resource!$P45=0,0,H236/$S236*Resource!$P45)</f>
        <v>0</v>
      </c>
      <c r="I44" s="31">
        <f>IF(Resource!$P45=0,0,I236/$S236*Resource!$P45)</f>
        <v>0</v>
      </c>
      <c r="J44" s="31">
        <f>IF(Resource!$P45=0,0,J236/$S236*Resource!$P45)</f>
        <v>0</v>
      </c>
      <c r="K44" s="31">
        <f>IF(Resource!$P45=0,0,K236/$S236*Resource!$P45)</f>
        <v>0</v>
      </c>
      <c r="L44" s="31">
        <f>IF(Resource!$P45=0,0,L236/$S236*Resource!$P45)</f>
        <v>0</v>
      </c>
      <c r="M44" s="31">
        <f>IF(Resource!$P45=0,0,M236/$S236*Resource!$P45)</f>
        <v>0</v>
      </c>
      <c r="N44" s="31">
        <f>IF(Resource!$P45=0,0,N236/$S236*Resource!$P45)</f>
        <v>0</v>
      </c>
      <c r="O44" s="31">
        <f>IF(Resource!$P45=0,0,O236/$S236*Resource!$P45)</f>
        <v>0</v>
      </c>
      <c r="P44" s="31">
        <f>IF(Resource!$P45=0,0,P236/$S236*Resource!$P45)</f>
        <v>0</v>
      </c>
      <c r="Q44" s="31">
        <f>IF(Resource!$P45=0,0,Q236/$S236*Resource!$P45)</f>
        <v>0</v>
      </c>
      <c r="R44" s="31"/>
      <c r="S44" s="11">
        <f t="shared" si="1"/>
        <v>0</v>
      </c>
      <c r="T44" s="2">
        <f>Resource!P45</f>
        <v>0</v>
      </c>
    </row>
    <row r="45" spans="1:20">
      <c r="A45" s="141">
        <v>70</v>
      </c>
      <c r="B45" s="31"/>
      <c r="C45" s="31"/>
      <c r="D45" s="31"/>
      <c r="E45" s="31">
        <f>IF(Resource!$P46=0,0,E237/$S237*Resource!$P46)</f>
        <v>0</v>
      </c>
      <c r="F45" s="31">
        <f>IF(Resource!$P46=0,0,F237/$S237*Resource!$P46)</f>
        <v>0</v>
      </c>
      <c r="G45" s="31">
        <f>IF(Resource!$P46=0,0,G237/$S237*Resource!$P46)</f>
        <v>0</v>
      </c>
      <c r="H45" s="31">
        <f>IF(Resource!$P46=0,0,H237/$S237*Resource!$P46)</f>
        <v>0</v>
      </c>
      <c r="I45" s="31">
        <f>IF(Resource!$P46=0,0,I237/$S237*Resource!$P46)</f>
        <v>0</v>
      </c>
      <c r="J45" s="31">
        <f>IF(Resource!$P46=0,0,J237/$S237*Resource!$P46)</f>
        <v>0</v>
      </c>
      <c r="K45" s="31">
        <f>IF(Resource!$P46=0,0,K237/$S237*Resource!$P46)</f>
        <v>0</v>
      </c>
      <c r="L45" s="31">
        <f>IF(Resource!$P46=0,0,L237/$S237*Resource!$P46)</f>
        <v>0</v>
      </c>
      <c r="M45" s="31">
        <f>IF(Resource!$P46=0,0,M237/$S237*Resource!$P46)</f>
        <v>0</v>
      </c>
      <c r="N45" s="31">
        <f>IF(Resource!$P46=0,0,N237/$S237*Resource!$P46)</f>
        <v>0</v>
      </c>
      <c r="O45" s="31">
        <f>IF(Resource!$P46=0,0,O237/$S237*Resource!$P46)</f>
        <v>0</v>
      </c>
      <c r="P45" s="31">
        <f>IF(Resource!$P46=0,0,P237/$S237*Resource!$P46)</f>
        <v>0</v>
      </c>
      <c r="Q45" s="31">
        <f>IF(Resource!$P46=0,0,Q237/$S237*Resource!$P46)</f>
        <v>0</v>
      </c>
      <c r="R45" s="31"/>
      <c r="S45" s="11">
        <f t="shared" si="1"/>
        <v>0</v>
      </c>
      <c r="T45" s="2">
        <f>Resource!P46</f>
        <v>0</v>
      </c>
    </row>
    <row r="46" spans="1:20">
      <c r="A46" s="141">
        <v>65</v>
      </c>
      <c r="B46" s="31"/>
      <c r="C46" s="31"/>
      <c r="D46" s="31"/>
      <c r="E46" s="31">
        <f>IF(Resource!$P47=0,0,E238/$S238*Resource!$P47)</f>
        <v>0</v>
      </c>
      <c r="F46" s="31">
        <f>IF(Resource!$P47=0,0,F238/$S238*Resource!$P47)</f>
        <v>0</v>
      </c>
      <c r="G46" s="31">
        <f>IF(Resource!$P47=0,0,G238/$S238*Resource!$P47)</f>
        <v>0</v>
      </c>
      <c r="H46" s="31">
        <f>IF(Resource!$P47=0,0,H238/$S238*Resource!$P47)</f>
        <v>0</v>
      </c>
      <c r="I46" s="31">
        <f>IF(Resource!$P47=0,0,I238/$S238*Resource!$P47)</f>
        <v>0</v>
      </c>
      <c r="J46" s="31">
        <f>IF(Resource!$P47=0,0,J238/$S238*Resource!$P47)</f>
        <v>0</v>
      </c>
      <c r="K46" s="31">
        <f>IF(Resource!$P47=0,0,K238/$S238*Resource!$P47)</f>
        <v>0</v>
      </c>
      <c r="L46" s="31">
        <f>IF(Resource!$P47=0,0,L238/$S238*Resource!$P47)</f>
        <v>0</v>
      </c>
      <c r="M46" s="31">
        <f>IF(Resource!$P47=0,0,M238/$S238*Resource!$P47)</f>
        <v>0</v>
      </c>
      <c r="N46" s="31">
        <f>IF(Resource!$P47=0,0,N238/$S238*Resource!$P47)</f>
        <v>0</v>
      </c>
      <c r="O46" s="31">
        <f>IF(Resource!$P47=0,0,O238/$S238*Resource!$P47)</f>
        <v>0</v>
      </c>
      <c r="P46" s="31">
        <f>IF(Resource!$P47=0,0,P238/$S238*Resource!$P47)</f>
        <v>0</v>
      </c>
      <c r="Q46" s="31">
        <f>IF(Resource!$P47=0,0,Q238/$S238*Resource!$P47)</f>
        <v>0</v>
      </c>
      <c r="R46" s="31"/>
      <c r="S46" s="11">
        <f t="shared" si="1"/>
        <v>0</v>
      </c>
      <c r="T46" s="2">
        <f>Resource!P47</f>
        <v>0</v>
      </c>
    </row>
    <row r="47" spans="1:20">
      <c r="A47" s="141">
        <v>60</v>
      </c>
      <c r="B47" s="31"/>
      <c r="C47" s="31"/>
      <c r="D47" s="31"/>
      <c r="E47" s="31">
        <f>IF(Resource!$P48=0,0,E239/$S239*Resource!$P48)</f>
        <v>0</v>
      </c>
      <c r="F47" s="31">
        <f>IF(Resource!$P48=0,0,F239/$S239*Resource!$P48)</f>
        <v>0</v>
      </c>
      <c r="G47" s="31">
        <f>IF(Resource!$P48=0,0,G239/$S239*Resource!$P48)</f>
        <v>0</v>
      </c>
      <c r="H47" s="31">
        <f>IF(Resource!$P48=0,0,H239/$S239*Resource!$P48)</f>
        <v>0</v>
      </c>
      <c r="I47" s="31">
        <f>IF(Resource!$P48=0,0,I239/$S239*Resource!$P48)</f>
        <v>0</v>
      </c>
      <c r="J47" s="31">
        <f>IF(Resource!$P48=0,0,J239/$S239*Resource!$P48)</f>
        <v>0</v>
      </c>
      <c r="K47" s="31">
        <f>IF(Resource!$P48=0,0,K239/$S239*Resource!$P48)</f>
        <v>0</v>
      </c>
      <c r="L47" s="31">
        <f>IF(Resource!$P48=0,0,L239/$S239*Resource!$P48)</f>
        <v>0</v>
      </c>
      <c r="M47" s="31">
        <f>IF(Resource!$P48=0,0,M239/$S239*Resource!$P48)</f>
        <v>0</v>
      </c>
      <c r="N47" s="31">
        <f>IF(Resource!$P48=0,0,N239/$S239*Resource!$P48)</f>
        <v>0</v>
      </c>
      <c r="O47" s="31">
        <f>IF(Resource!$P48=0,0,O239/$S239*Resource!$P48)</f>
        <v>0</v>
      </c>
      <c r="P47" s="31">
        <f>IF(Resource!$P48=0,0,P239/$S239*Resource!$P48)</f>
        <v>0</v>
      </c>
      <c r="Q47" s="31">
        <f>IF(Resource!$P48=0,0,Q239/$S239*Resource!$P48)</f>
        <v>0</v>
      </c>
      <c r="R47" s="31"/>
      <c r="S47" s="11">
        <f t="shared" si="1"/>
        <v>0</v>
      </c>
      <c r="T47" s="2">
        <f>Resource!P48</f>
        <v>0</v>
      </c>
    </row>
    <row r="48" spans="1:20">
      <c r="A48" s="146">
        <v>55</v>
      </c>
      <c r="B48" s="31"/>
      <c r="C48" s="31"/>
      <c r="D48" s="31"/>
      <c r="E48" s="31">
        <f>IF(Resource!$P49=0,0,E240/$S240*Resource!$P49)</f>
        <v>0</v>
      </c>
      <c r="F48" s="31">
        <f>IF(Resource!$P49=0,0,F240/$S240*Resource!$P49)</f>
        <v>0</v>
      </c>
      <c r="G48" s="31">
        <f>IF(Resource!$P49=0,0,G240/$S240*Resource!$P49)</f>
        <v>0</v>
      </c>
      <c r="H48" s="31">
        <f>IF(Resource!$P49=0,0,H240/$S240*Resource!$P49)</f>
        <v>0</v>
      </c>
      <c r="I48" s="31">
        <f>IF(Resource!$P49=0,0,I240/$S240*Resource!$P49)</f>
        <v>0</v>
      </c>
      <c r="J48" s="31">
        <f>IF(Resource!$P49=0,0,J240/$S240*Resource!$P49)</f>
        <v>0</v>
      </c>
      <c r="K48" s="31">
        <f>IF(Resource!$P49=0,0,K240/$S240*Resource!$P49)</f>
        <v>0</v>
      </c>
      <c r="L48" s="31">
        <f>IF(Resource!$P49=0,0,L240/$S240*Resource!$P49)</f>
        <v>0</v>
      </c>
      <c r="M48" s="31">
        <f>IF(Resource!$P49=0,0,M240/$S240*Resource!$P49)</f>
        <v>0</v>
      </c>
      <c r="N48" s="31">
        <f>IF(Resource!$P49=0,0,N240/$S240*Resource!$P49)</f>
        <v>0</v>
      </c>
      <c r="O48" s="31">
        <f>IF(Resource!$P49=0,0,O240/$S240*Resource!$P49)</f>
        <v>0</v>
      </c>
      <c r="P48" s="31">
        <f>IF(Resource!$P49=0,0,P240/$S240*Resource!$P49)</f>
        <v>0</v>
      </c>
      <c r="Q48" s="31">
        <f>IF(Resource!$P49=0,0,Q240/$S240*Resource!$P49)</f>
        <v>0</v>
      </c>
      <c r="R48" s="31"/>
      <c r="S48" s="11">
        <f t="shared" si="1"/>
        <v>0</v>
      </c>
      <c r="T48" s="2">
        <f>Resource!P49</f>
        <v>0</v>
      </c>
    </row>
    <row r="49" spans="1:20">
      <c r="A49" s="146">
        <v>50</v>
      </c>
      <c r="B49" s="31"/>
      <c r="C49" s="31"/>
      <c r="D49" s="31"/>
      <c r="E49" s="31">
        <f>IF(Resource!$P50=0,0,E241/$S241*Resource!$P50)</f>
        <v>0</v>
      </c>
      <c r="F49" s="31">
        <f>IF(Resource!$P50=0,0,F241/$S241*Resource!$P50)</f>
        <v>0</v>
      </c>
      <c r="G49" s="31">
        <f>IF(Resource!$P50=0,0,G241/$S241*Resource!$P50)</f>
        <v>0</v>
      </c>
      <c r="H49" s="31">
        <f>IF(Resource!$P50=0,0,H241/$S241*Resource!$P50)</f>
        <v>0</v>
      </c>
      <c r="I49" s="31">
        <f>IF(Resource!$P50=0,0,I241/$S241*Resource!$P50)</f>
        <v>0</v>
      </c>
      <c r="J49" s="31">
        <f>IF(Resource!$P50=0,0,J241/$S241*Resource!$P50)</f>
        <v>0</v>
      </c>
      <c r="K49" s="31">
        <f>IF(Resource!$P50=0,0,K241/$S241*Resource!$P50)</f>
        <v>0</v>
      </c>
      <c r="L49" s="31">
        <f>IF(Resource!$P50=0,0,L241/$S241*Resource!$P50)</f>
        <v>0</v>
      </c>
      <c r="M49" s="31">
        <f>IF(Resource!$P50=0,0,M241/$S241*Resource!$P50)</f>
        <v>0</v>
      </c>
      <c r="N49" s="31">
        <f>IF(Resource!$P50=0,0,N241/$S241*Resource!$P50)</f>
        <v>0</v>
      </c>
      <c r="O49" s="31">
        <f>IF(Resource!$P50=0,0,O241/$S241*Resource!$P50)</f>
        <v>0</v>
      </c>
      <c r="P49" s="31">
        <f>IF(Resource!$P50=0,0,P241/$S241*Resource!$P50)</f>
        <v>0</v>
      </c>
      <c r="Q49" s="31">
        <f>IF(Resource!$P50=0,0,Q241/$S241*Resource!$P50)</f>
        <v>0</v>
      </c>
      <c r="R49" s="31"/>
      <c r="S49" s="11">
        <f t="shared" si="1"/>
        <v>0</v>
      </c>
      <c r="T49" s="2">
        <f>Resource!P50</f>
        <v>0</v>
      </c>
    </row>
    <row r="50" spans="1:20">
      <c r="A50" s="146">
        <v>45</v>
      </c>
      <c r="B50" s="31"/>
      <c r="C50" s="31"/>
      <c r="D50" s="31"/>
      <c r="E50" s="31">
        <f>IF(Resource!$P51=0,0,E242/$S242*Resource!$P51)</f>
        <v>0</v>
      </c>
      <c r="F50" s="31">
        <f>IF(Resource!$P51=0,0,F242/$S242*Resource!$P51)</f>
        <v>0</v>
      </c>
      <c r="G50" s="31">
        <f>IF(Resource!$P51=0,0,G242/$S242*Resource!$P51)</f>
        <v>0</v>
      </c>
      <c r="H50" s="31">
        <f>IF(Resource!$P51=0,0,H242/$S242*Resource!$P51)</f>
        <v>0</v>
      </c>
      <c r="I50" s="31">
        <f>IF(Resource!$P51=0,0,I242/$S242*Resource!$P51)</f>
        <v>0</v>
      </c>
      <c r="J50" s="31">
        <f>IF(Resource!$P51=0,0,J242/$S242*Resource!$P51)</f>
        <v>0</v>
      </c>
      <c r="K50" s="31">
        <f>IF(Resource!$P51=0,0,K242/$S242*Resource!$P51)</f>
        <v>0</v>
      </c>
      <c r="L50" s="31">
        <f>IF(Resource!$P51=0,0,L242/$S242*Resource!$P51)</f>
        <v>0</v>
      </c>
      <c r="M50" s="31">
        <f>IF(Resource!$P51=0,0,M242/$S242*Resource!$P51)</f>
        <v>0</v>
      </c>
      <c r="N50" s="31">
        <f>IF(Resource!$P51=0,0,N242/$S242*Resource!$P51)</f>
        <v>0</v>
      </c>
      <c r="O50" s="31">
        <f>IF(Resource!$P51=0,0,O242/$S242*Resource!$P51)</f>
        <v>0</v>
      </c>
      <c r="P50" s="31">
        <f>IF(Resource!$P51=0,0,P242/$S242*Resource!$P51)</f>
        <v>0</v>
      </c>
      <c r="Q50" s="31">
        <f>IF(Resource!$P51=0,0,Q242/$S242*Resource!$P51)</f>
        <v>0</v>
      </c>
      <c r="R50" s="31"/>
      <c r="S50" s="11">
        <f t="shared" si="1"/>
        <v>0</v>
      </c>
      <c r="T50" s="2">
        <f>Resource!P51</f>
        <v>0</v>
      </c>
    </row>
    <row r="51" spans="1:20">
      <c r="A51" s="146">
        <v>40</v>
      </c>
      <c r="B51" s="31"/>
      <c r="C51" s="31"/>
      <c r="D51" s="31"/>
      <c r="E51" s="31">
        <f>IF(Resource!$P52=0,0,E243/$S243*Resource!$P52)</f>
        <v>0</v>
      </c>
      <c r="F51" s="31">
        <f>IF(Resource!$P52=0,0,F243/$S243*Resource!$P52)</f>
        <v>0</v>
      </c>
      <c r="G51" s="31">
        <f>IF(Resource!$P52=0,0,G243/$S243*Resource!$P52)</f>
        <v>0</v>
      </c>
      <c r="H51" s="31">
        <f>IF(Resource!$P52=0,0,H243/$S243*Resource!$P52)</f>
        <v>0</v>
      </c>
      <c r="I51" s="31">
        <f>IF(Resource!$P52=0,0,I243/$S243*Resource!$P52)</f>
        <v>0</v>
      </c>
      <c r="J51" s="31">
        <f>IF(Resource!$P52=0,0,J243/$S243*Resource!$P52)</f>
        <v>0</v>
      </c>
      <c r="K51" s="31">
        <f>IF(Resource!$P52=0,0,K243/$S243*Resource!$P52)</f>
        <v>0</v>
      </c>
      <c r="L51" s="31">
        <f>IF(Resource!$P52=0,0,L243/$S243*Resource!$P52)</f>
        <v>0</v>
      </c>
      <c r="M51" s="31">
        <f>IF(Resource!$P52=0,0,M243/$S243*Resource!$P52)</f>
        <v>0</v>
      </c>
      <c r="N51" s="31">
        <f>IF(Resource!$P52=0,0,N243/$S243*Resource!$P52)</f>
        <v>0</v>
      </c>
      <c r="O51" s="31">
        <f>IF(Resource!$P52=0,0,O243/$S243*Resource!$P52)</f>
        <v>0</v>
      </c>
      <c r="P51" s="31">
        <f>IF(Resource!$P52=0,0,P243/$S243*Resource!$P52)</f>
        <v>0</v>
      </c>
      <c r="Q51" s="31">
        <f>IF(Resource!$P52=0,0,Q243/$S243*Resource!$P52)</f>
        <v>0</v>
      </c>
      <c r="R51" s="31"/>
      <c r="S51" s="11">
        <f t="shared" si="1"/>
        <v>0</v>
      </c>
      <c r="T51" s="2">
        <f>Resource!P52</f>
        <v>0</v>
      </c>
    </row>
    <row r="52" spans="1:20">
      <c r="A52" s="146">
        <v>35</v>
      </c>
      <c r="B52" s="31"/>
      <c r="C52" s="31"/>
      <c r="D52" s="31"/>
      <c r="E52" s="31">
        <f>IF(Resource!$P53=0,0,E244/$S244*Resource!$P53)</f>
        <v>0</v>
      </c>
      <c r="F52" s="31">
        <f>IF(Resource!$P53=0,0,F244/$S244*Resource!$P53)</f>
        <v>0</v>
      </c>
      <c r="G52" s="31">
        <f>IF(Resource!$P53=0,0,G244/$S244*Resource!$P53)</f>
        <v>0</v>
      </c>
      <c r="H52" s="31">
        <f>IF(Resource!$P53=0,0,H244/$S244*Resource!$P53)</f>
        <v>0</v>
      </c>
      <c r="I52" s="31">
        <f>IF(Resource!$P53=0,0,I244/$S244*Resource!$P53)</f>
        <v>0</v>
      </c>
      <c r="J52" s="31">
        <f>IF(Resource!$P53=0,0,J244/$S244*Resource!$P53)</f>
        <v>0</v>
      </c>
      <c r="K52" s="31">
        <f>IF(Resource!$P53=0,0,K244/$S244*Resource!$P53)</f>
        <v>0</v>
      </c>
      <c r="L52" s="31">
        <f>IF(Resource!$P53=0,0,L244/$S244*Resource!$P53)</f>
        <v>0</v>
      </c>
      <c r="M52" s="31">
        <f>IF(Resource!$P53=0,0,M244/$S244*Resource!$P53)</f>
        <v>0</v>
      </c>
      <c r="N52" s="31">
        <f>IF(Resource!$P53=0,0,N244/$S244*Resource!$P53)</f>
        <v>0</v>
      </c>
      <c r="O52" s="31">
        <f>IF(Resource!$P53=0,0,O244/$S244*Resource!$P53)</f>
        <v>0</v>
      </c>
      <c r="P52" s="31">
        <f>IF(Resource!$P53=0,0,P244/$S244*Resource!$P53)</f>
        <v>0</v>
      </c>
      <c r="Q52" s="31">
        <f>IF(Resource!$P53=0,0,Q244/$S244*Resource!$P53)</f>
        <v>0</v>
      </c>
      <c r="R52" s="31"/>
      <c r="S52" s="11">
        <f t="shared" si="1"/>
        <v>0</v>
      </c>
      <c r="T52" s="2">
        <f>Resource!P53</f>
        <v>0</v>
      </c>
    </row>
    <row r="53" spans="1:20">
      <c r="A53" s="146">
        <v>30</v>
      </c>
      <c r="B53" s="31"/>
      <c r="C53" s="31"/>
      <c r="D53" s="31"/>
      <c r="E53" s="31">
        <f>IF(Resource!$P54=0,0,E245/$S245*Resource!$P54)</f>
        <v>0</v>
      </c>
      <c r="F53" s="31">
        <f>IF(Resource!$P54=0,0,F245/$S245*Resource!$P54)</f>
        <v>0</v>
      </c>
      <c r="G53" s="31">
        <f>IF(Resource!$P54=0,0,G245/$S245*Resource!$P54)</f>
        <v>0</v>
      </c>
      <c r="H53" s="31">
        <f>IF(Resource!$P54=0,0,H245/$S245*Resource!$P54)</f>
        <v>0</v>
      </c>
      <c r="I53" s="31">
        <f>IF(Resource!$P54=0,0,I245/$S245*Resource!$P54)</f>
        <v>0</v>
      </c>
      <c r="J53" s="31">
        <f>IF(Resource!$P54=0,0,J245/$S245*Resource!$P54)</f>
        <v>0</v>
      </c>
      <c r="K53" s="31">
        <f>IF(Resource!$P54=0,0,K245/$S245*Resource!$P54)</f>
        <v>0</v>
      </c>
      <c r="L53" s="31">
        <f>IF(Resource!$P54=0,0,L245/$S245*Resource!$P54)</f>
        <v>0</v>
      </c>
      <c r="M53" s="31">
        <f>IF(Resource!$P54=0,0,M245/$S245*Resource!$P54)</f>
        <v>0</v>
      </c>
      <c r="N53" s="31">
        <f>IF(Resource!$P54=0,0,N245/$S245*Resource!$P54)</f>
        <v>0</v>
      </c>
      <c r="O53" s="31">
        <f>IF(Resource!$P54=0,0,O245/$S245*Resource!$P54)</f>
        <v>0</v>
      </c>
      <c r="P53" s="31">
        <f>IF(Resource!$P54=0,0,P245/$S245*Resource!$P54)</f>
        <v>0</v>
      </c>
      <c r="Q53" s="31">
        <f>IF(Resource!$P54=0,0,Q245/$S245*Resource!$P54)</f>
        <v>0</v>
      </c>
      <c r="R53" s="31"/>
      <c r="S53" s="11">
        <f t="shared" si="1"/>
        <v>0</v>
      </c>
      <c r="T53" s="2">
        <f>Resource!P54</f>
        <v>0</v>
      </c>
    </row>
    <row r="54" spans="1:20">
      <c r="A54" s="146">
        <v>25</v>
      </c>
      <c r="B54" s="31"/>
      <c r="C54" s="31"/>
      <c r="D54" s="31"/>
      <c r="E54" s="31">
        <f>IF(Resource!$P55=0,0,E246/$S246*Resource!$P55)</f>
        <v>0</v>
      </c>
      <c r="F54" s="31">
        <f>IF(Resource!$P55=0,0,F246/$S246*Resource!$P55)</f>
        <v>0</v>
      </c>
      <c r="G54" s="31">
        <f>IF(Resource!$P55=0,0,G246/$S246*Resource!$P55)</f>
        <v>0</v>
      </c>
      <c r="H54" s="31">
        <f>IF(Resource!$P55=0,0,H246/$S246*Resource!$P55)</f>
        <v>0</v>
      </c>
      <c r="I54" s="31">
        <f>IF(Resource!$P55=0,0,I246/$S246*Resource!$P55)</f>
        <v>0</v>
      </c>
      <c r="J54" s="31">
        <f>IF(Resource!$P55=0,0,J246/$S246*Resource!$P55)</f>
        <v>0</v>
      </c>
      <c r="K54" s="31">
        <f>IF(Resource!$P55=0,0,K246/$S246*Resource!$P55)</f>
        <v>0</v>
      </c>
      <c r="L54" s="31">
        <f>IF(Resource!$P55=0,0,L246/$S246*Resource!$P55)</f>
        <v>0</v>
      </c>
      <c r="M54" s="31">
        <f>IF(Resource!$P55=0,0,M246/$S246*Resource!$P55)</f>
        <v>0</v>
      </c>
      <c r="N54" s="31">
        <f>IF(Resource!$P55=0,0,N246/$S246*Resource!$P55)</f>
        <v>0</v>
      </c>
      <c r="O54" s="31">
        <f>IF(Resource!$P55=0,0,O246/$S246*Resource!$P55)</f>
        <v>0</v>
      </c>
      <c r="P54" s="31">
        <f>IF(Resource!$P55=0,0,P246/$S246*Resource!$P55)</f>
        <v>0</v>
      </c>
      <c r="Q54" s="31">
        <f>IF(Resource!$P55=0,0,Q246/$S246*Resource!$P55)</f>
        <v>0</v>
      </c>
      <c r="R54" s="31"/>
      <c r="S54" s="11">
        <f t="shared" si="1"/>
        <v>0</v>
      </c>
      <c r="T54" s="2">
        <f>Resource!P55</f>
        <v>0</v>
      </c>
    </row>
    <row r="55" spans="1:20">
      <c r="A55" s="146">
        <v>20</v>
      </c>
      <c r="B55" s="31"/>
      <c r="C55" s="31"/>
      <c r="D55" s="31"/>
      <c r="E55" s="31">
        <f>IF(Resource!$P56=0,0,E247/$S247*Resource!$P56)</f>
        <v>0</v>
      </c>
      <c r="F55" s="31">
        <f>IF(Resource!$P56=0,0,F247/$S247*Resource!$P56)</f>
        <v>0</v>
      </c>
      <c r="G55" s="31">
        <f>IF(Resource!$P56=0,0,G247/$S247*Resource!$P56)</f>
        <v>0</v>
      </c>
      <c r="H55" s="31">
        <f>IF(Resource!$P56=0,0,H247/$S247*Resource!$P56)</f>
        <v>0</v>
      </c>
      <c r="I55" s="31">
        <f>IF(Resource!$P56=0,0,I247/$S247*Resource!$P56)</f>
        <v>0</v>
      </c>
      <c r="J55" s="31">
        <f>IF(Resource!$P56=0,0,J247/$S247*Resource!$P56)</f>
        <v>0</v>
      </c>
      <c r="K55" s="31">
        <f>IF(Resource!$P56=0,0,K247/$S247*Resource!$P56)</f>
        <v>0</v>
      </c>
      <c r="L55" s="31">
        <f>IF(Resource!$P56=0,0,L247/$S247*Resource!$P56)</f>
        <v>0</v>
      </c>
      <c r="M55" s="31">
        <f>IF(Resource!$P56=0,0,M247/$S247*Resource!$P56)</f>
        <v>0</v>
      </c>
      <c r="N55" s="31">
        <f>IF(Resource!$P56=0,0,N247/$S247*Resource!$P56)</f>
        <v>0</v>
      </c>
      <c r="O55" s="31">
        <f>IF(Resource!$P56=0,0,O247/$S247*Resource!$P56)</f>
        <v>0</v>
      </c>
      <c r="P55" s="31">
        <f>IF(Resource!$P56=0,0,P247/$S247*Resource!$P56)</f>
        <v>0</v>
      </c>
      <c r="Q55" s="31">
        <f>IF(Resource!$P56=0,0,Q247/$S247*Resource!$P56)</f>
        <v>0</v>
      </c>
      <c r="R55" s="31"/>
      <c r="S55" s="11">
        <f t="shared" si="1"/>
        <v>0</v>
      </c>
      <c r="T55" s="2">
        <f>Resource!P56</f>
        <v>0</v>
      </c>
    </row>
    <row r="56" spans="1:20">
      <c r="A56" s="146">
        <v>15</v>
      </c>
      <c r="B56" s="31"/>
      <c r="C56" s="31"/>
      <c r="D56" s="31"/>
      <c r="E56" s="31">
        <f>IF(Resource!$P57=0,0,E248/$S248*Resource!$P57)</f>
        <v>0</v>
      </c>
      <c r="F56" s="31">
        <f>IF(Resource!$P57=0,0,F248/$S248*Resource!$P57)</f>
        <v>0</v>
      </c>
      <c r="G56" s="31">
        <f>IF(Resource!$P57=0,0,G248/$S248*Resource!$P57)</f>
        <v>0</v>
      </c>
      <c r="H56" s="31">
        <f>IF(Resource!$P57=0,0,H248/$S248*Resource!$P57)</f>
        <v>0</v>
      </c>
      <c r="I56" s="31">
        <f>IF(Resource!$P57=0,0,I248/$S248*Resource!$P57)</f>
        <v>0</v>
      </c>
      <c r="J56" s="31">
        <f>IF(Resource!$P57=0,0,J248/$S248*Resource!$P57)</f>
        <v>0</v>
      </c>
      <c r="K56" s="31">
        <f>IF(Resource!$P57=0,0,K248/$S248*Resource!$P57)</f>
        <v>0</v>
      </c>
      <c r="L56" s="31">
        <f>IF(Resource!$P57=0,0,L248/$S248*Resource!$P57)</f>
        <v>0</v>
      </c>
      <c r="M56" s="31">
        <f>IF(Resource!$P57=0,0,M248/$S248*Resource!$P57)</f>
        <v>0</v>
      </c>
      <c r="N56" s="31">
        <f>IF(Resource!$P57=0,0,N248/$S248*Resource!$P57)</f>
        <v>0</v>
      </c>
      <c r="O56" s="31">
        <f>IF(Resource!$P57=0,0,O248/$S248*Resource!$P57)</f>
        <v>0</v>
      </c>
      <c r="P56" s="31">
        <f>IF(Resource!$P57=0,0,P248/$S248*Resource!$P57)</f>
        <v>0</v>
      </c>
      <c r="Q56" s="31">
        <f>IF(Resource!$P57=0,0,Q248/$S248*Resource!$P57)</f>
        <v>0</v>
      </c>
      <c r="R56" s="31"/>
      <c r="S56" s="11">
        <f t="shared" si="1"/>
        <v>0</v>
      </c>
      <c r="T56" s="2">
        <f>Resource!P57</f>
        <v>0</v>
      </c>
    </row>
    <row r="57" spans="1:20">
      <c r="A57" s="146">
        <v>10</v>
      </c>
      <c r="B57" s="31"/>
      <c r="C57" s="31"/>
      <c r="D57" s="31"/>
      <c r="E57" s="31">
        <f>IF(Resource!$P58=0,0,E249/$S249*Resource!$P58)</f>
        <v>0</v>
      </c>
      <c r="F57" s="31">
        <f>IF(Resource!$P58=0,0,F249/$S249*Resource!$P58)</f>
        <v>0</v>
      </c>
      <c r="G57" s="31">
        <f>IF(Resource!$P58=0,0,G249/$S249*Resource!$P58)</f>
        <v>0</v>
      </c>
      <c r="H57" s="31">
        <f>IF(Resource!$P58=0,0,H249/$S249*Resource!$P58)</f>
        <v>0</v>
      </c>
      <c r="I57" s="31">
        <f>IF(Resource!$P58=0,0,I249/$S249*Resource!$P58)</f>
        <v>0</v>
      </c>
      <c r="J57" s="31">
        <f>IF(Resource!$P58=0,0,J249/$S249*Resource!$P58)</f>
        <v>0</v>
      </c>
      <c r="K57" s="31">
        <f>IF(Resource!$P58=0,0,K249/$S249*Resource!$P58)</f>
        <v>0</v>
      </c>
      <c r="L57" s="31">
        <f>IF(Resource!$P58=0,0,L249/$S249*Resource!$P58)</f>
        <v>0</v>
      </c>
      <c r="M57" s="31">
        <f>IF(Resource!$P58=0,0,M249/$S249*Resource!$P58)</f>
        <v>0</v>
      </c>
      <c r="N57" s="31">
        <f>IF(Resource!$P58=0,0,N249/$S249*Resource!$P58)</f>
        <v>0</v>
      </c>
      <c r="O57" s="31">
        <f>IF(Resource!$P58=0,0,O249/$S249*Resource!$P58)</f>
        <v>0</v>
      </c>
      <c r="P57" s="31">
        <f>IF(Resource!$P58=0,0,P249/$S249*Resource!$P58)</f>
        <v>0</v>
      </c>
      <c r="Q57" s="31">
        <f>IF(Resource!$P58=0,0,Q249/$S249*Resource!$P58)</f>
        <v>0</v>
      </c>
      <c r="R57" s="31"/>
      <c r="S57" s="11">
        <f t="shared" si="1"/>
        <v>0</v>
      </c>
      <c r="T57" s="2">
        <f>Resource!P58</f>
        <v>0</v>
      </c>
    </row>
    <row r="58" spans="1:20">
      <c r="A58" s="146">
        <v>5</v>
      </c>
      <c r="B58" s="31"/>
      <c r="C58" s="31"/>
      <c r="D58" s="31"/>
      <c r="E58" s="31">
        <f>IF(Resource!$P59=0,0,E250/$S250*Resource!$P59)</f>
        <v>0</v>
      </c>
      <c r="F58" s="31">
        <f>IF(Resource!$P59=0,0,F250/$S250*Resource!$P59)</f>
        <v>0</v>
      </c>
      <c r="G58" s="31">
        <f>IF(Resource!$P59=0,0,G250/$S250*Resource!$P59)</f>
        <v>0</v>
      </c>
      <c r="H58" s="31">
        <f>IF(Resource!$P59=0,0,H250/$S250*Resource!$P59)</f>
        <v>0</v>
      </c>
      <c r="I58" s="31">
        <f>IF(Resource!$P59=0,0,I250/$S250*Resource!$P59)</f>
        <v>0</v>
      </c>
      <c r="J58" s="31">
        <f>IF(Resource!$P59=0,0,J250/$S250*Resource!$P59)</f>
        <v>0</v>
      </c>
      <c r="K58" s="31">
        <f>IF(Resource!$P59=0,0,K250/$S250*Resource!$P59)</f>
        <v>0</v>
      </c>
      <c r="L58" s="31">
        <f>IF(Resource!$P59=0,0,L250/$S250*Resource!$P59)</f>
        <v>0</v>
      </c>
      <c r="M58" s="31">
        <f>IF(Resource!$P59=0,0,M250/$S250*Resource!$P59)</f>
        <v>0</v>
      </c>
      <c r="N58" s="31">
        <f>IF(Resource!$P59=0,0,N250/$S250*Resource!$P59)</f>
        <v>0</v>
      </c>
      <c r="O58" s="31">
        <f>IF(Resource!$P59=0,0,O250/$S250*Resource!$P59)</f>
        <v>0</v>
      </c>
      <c r="P58" s="31">
        <f>IF(Resource!$P59=0,0,P250/$S250*Resource!$P59)</f>
        <v>0</v>
      </c>
      <c r="Q58" s="31">
        <f>IF(Resource!$P59=0,0,Q250/$S250*Resource!$P59)</f>
        <v>0</v>
      </c>
      <c r="R58" s="31"/>
      <c r="S58" s="11">
        <f t="shared" si="1"/>
        <v>0</v>
      </c>
      <c r="T58" s="2">
        <f>Resource!P59</f>
        <v>0</v>
      </c>
    </row>
    <row r="59" spans="1:20">
      <c r="A59" s="146">
        <v>0</v>
      </c>
      <c r="B59" s="31"/>
      <c r="C59" s="31"/>
      <c r="D59" s="31"/>
      <c r="E59" s="31">
        <f>IF(Resource!$P60=0,0,E251/$S251*Resource!$P60)</f>
        <v>0</v>
      </c>
      <c r="F59" s="31">
        <f>IF(Resource!$P60=0,0,F251/$S251*Resource!$P60)</f>
        <v>0</v>
      </c>
      <c r="G59" s="31">
        <f>IF(Resource!$P60=0,0,G251/$S251*Resource!$P60)</f>
        <v>0</v>
      </c>
      <c r="H59" s="31">
        <f>IF(Resource!$P60=0,0,H251/$S251*Resource!$P60)</f>
        <v>0</v>
      </c>
      <c r="I59" s="31">
        <f>IF(Resource!$P60=0,0,I251/$S251*Resource!$P60)</f>
        <v>0</v>
      </c>
      <c r="J59" s="31">
        <f>IF(Resource!$P60=0,0,J251/$S251*Resource!$P60)</f>
        <v>0</v>
      </c>
      <c r="K59" s="31">
        <f>IF(Resource!$P60=0,0,K251/$S251*Resource!$P60)</f>
        <v>0</v>
      </c>
      <c r="L59" s="31">
        <f>IF(Resource!$P60=0,0,L251/$S251*Resource!$P60)</f>
        <v>0</v>
      </c>
      <c r="M59" s="31">
        <f>IF(Resource!$P60=0,0,M251/$S251*Resource!$P60)</f>
        <v>0</v>
      </c>
      <c r="N59" s="31">
        <f>IF(Resource!$P60=0,0,N251/$S251*Resource!$P60)</f>
        <v>0</v>
      </c>
      <c r="O59" s="31">
        <f>IF(Resource!$P60=0,0,O251/$S251*Resource!$P60)</f>
        <v>0</v>
      </c>
      <c r="P59" s="31">
        <f>IF(Resource!$P60=0,0,P251/$S251*Resource!$P60)</f>
        <v>0</v>
      </c>
      <c r="Q59" s="31">
        <f>IF(Resource!$P60=0,0,Q251/$S251*Resource!$P60)</f>
        <v>0</v>
      </c>
      <c r="R59" s="31"/>
      <c r="S59" s="11">
        <f t="shared" si="1"/>
        <v>0</v>
      </c>
      <c r="T59" s="2">
        <f>Resource!P60</f>
        <v>0</v>
      </c>
    </row>
    <row r="60" spans="1:20">
      <c r="A60" s="39" t="s">
        <v>5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11"/>
    </row>
    <row r="61" spans="1:20">
      <c r="A61" s="5" t="s">
        <v>295</v>
      </c>
      <c r="B61" s="91">
        <f>SUM(B9:B59)</f>
        <v>0</v>
      </c>
      <c r="C61" s="91">
        <f t="shared" ref="C61:Q61" si="2">SUM(C9:C59)</f>
        <v>0</v>
      </c>
      <c r="D61" s="91">
        <f t="shared" si="2"/>
        <v>426000</v>
      </c>
      <c r="E61" s="91">
        <f t="shared" si="2"/>
        <v>24000</v>
      </c>
      <c r="F61" s="91">
        <f t="shared" si="2"/>
        <v>80000</v>
      </c>
      <c r="G61" s="91">
        <f t="shared" si="2"/>
        <v>108000</v>
      </c>
      <c r="H61" s="91">
        <f t="shared" si="2"/>
        <v>0</v>
      </c>
      <c r="I61" s="91">
        <f t="shared" si="2"/>
        <v>0</v>
      </c>
      <c r="J61" s="91">
        <f t="shared" si="2"/>
        <v>0</v>
      </c>
      <c r="K61" s="91">
        <f t="shared" si="2"/>
        <v>0</v>
      </c>
      <c r="L61" s="91">
        <f t="shared" si="2"/>
        <v>0</v>
      </c>
      <c r="M61" s="91">
        <f t="shared" si="2"/>
        <v>0</v>
      </c>
      <c r="N61" s="91">
        <f t="shared" si="2"/>
        <v>0</v>
      </c>
      <c r="O61" s="91">
        <f t="shared" si="2"/>
        <v>0</v>
      </c>
      <c r="P61" s="91">
        <f t="shared" si="2"/>
        <v>0</v>
      </c>
      <c r="Q61" s="91">
        <f t="shared" si="2"/>
        <v>0</v>
      </c>
      <c r="R61" s="91"/>
      <c r="S61" s="92">
        <f>SUM(B61:R61)</f>
        <v>638000</v>
      </c>
      <c r="T61" s="2">
        <f>Resource!P63</f>
        <v>638000</v>
      </c>
    </row>
    <row r="62" spans="1:20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8"/>
    </row>
    <row r="65" spans="1:20">
      <c r="A65" s="13" t="s">
        <v>0</v>
      </c>
      <c r="B65" s="77"/>
      <c r="C65" s="77"/>
      <c r="D65" s="77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5"/>
    </row>
    <row r="66" spans="1:20">
      <c r="A66" s="16" t="str">
        <f>Title!$F$10</f>
        <v>ARTHUR RIVER MAGNESITE PROJECT</v>
      </c>
      <c r="B66" s="78"/>
      <c r="C66" s="78"/>
      <c r="D66" s="7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</row>
    <row r="67" spans="1:20">
      <c r="A67" s="16" t="str">
        <f>Title!$F$12</f>
        <v>ORDER OF MAGNITUDE COST STUDY: CALCINE PRODUCTION ONLY</v>
      </c>
      <c r="B67" s="78"/>
      <c r="C67" s="78"/>
      <c r="D67" s="78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</row>
    <row r="68" spans="1:20">
      <c r="A68" s="19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 t="str">
        <f>Title!$F$19</f>
        <v>3 October 2011</v>
      </c>
      <c r="S68" s="18"/>
    </row>
    <row r="69" spans="1:20">
      <c r="A69" s="20" t="s">
        <v>294</v>
      </c>
      <c r="B69" s="79"/>
      <c r="C69" s="79"/>
      <c r="D69" s="79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</row>
    <row r="70" spans="1:20">
      <c r="A70" s="46"/>
      <c r="B70" s="41" t="s">
        <v>26</v>
      </c>
      <c r="C70" s="41" t="s">
        <v>26</v>
      </c>
      <c r="D70" s="41" t="s">
        <v>26</v>
      </c>
      <c r="E70" s="41" t="s">
        <v>26</v>
      </c>
      <c r="F70" s="41" t="s">
        <v>26</v>
      </c>
      <c r="G70" s="41" t="s">
        <v>26</v>
      </c>
      <c r="H70" s="41" t="s">
        <v>26</v>
      </c>
      <c r="I70" s="41" t="s">
        <v>26</v>
      </c>
      <c r="J70" s="41" t="s">
        <v>26</v>
      </c>
      <c r="K70" s="41" t="s">
        <v>26</v>
      </c>
      <c r="L70" s="41" t="s">
        <v>26</v>
      </c>
      <c r="M70" s="41" t="s">
        <v>26</v>
      </c>
      <c r="N70" s="41" t="s">
        <v>26</v>
      </c>
      <c r="O70" s="41" t="s">
        <v>26</v>
      </c>
      <c r="P70" s="41" t="s">
        <v>26</v>
      </c>
      <c r="Q70" s="41" t="s">
        <v>26</v>
      </c>
      <c r="R70" s="41"/>
      <c r="S70" s="42" t="s">
        <v>5</v>
      </c>
      <c r="T70" s="174" t="s">
        <v>32</v>
      </c>
    </row>
    <row r="71" spans="1:20">
      <c r="A71" s="8"/>
      <c r="B71" s="43">
        <v>-3</v>
      </c>
      <c r="C71" s="43">
        <v>-2</v>
      </c>
      <c r="D71" s="43">
        <v>-1</v>
      </c>
      <c r="E71" s="43">
        <v>1</v>
      </c>
      <c r="F71" s="43">
        <v>2</v>
      </c>
      <c r="G71" s="43">
        <v>3</v>
      </c>
      <c r="H71" s="43">
        <v>4</v>
      </c>
      <c r="I71" s="43">
        <v>5</v>
      </c>
      <c r="J71" s="43">
        <v>6</v>
      </c>
      <c r="K71" s="43">
        <v>7</v>
      </c>
      <c r="L71" s="43">
        <v>8</v>
      </c>
      <c r="M71" s="43">
        <v>9</v>
      </c>
      <c r="N71" s="43">
        <v>10</v>
      </c>
      <c r="O71" s="43">
        <v>11</v>
      </c>
      <c r="P71" s="43">
        <v>12</v>
      </c>
      <c r="Q71" s="43">
        <v>13</v>
      </c>
      <c r="R71" s="43"/>
      <c r="S71" s="47"/>
    </row>
    <row r="72" spans="1:20">
      <c r="A72" s="39" t="s">
        <v>178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6"/>
    </row>
    <row r="73" spans="1:20">
      <c r="A73" s="139">
        <v>195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11">
        <f t="shared" ref="S73:S90" si="3">SUM(B73:R73)</f>
        <v>0</v>
      </c>
      <c r="T73" s="2">
        <f>Resource!R10</f>
        <v>0</v>
      </c>
    </row>
    <row r="74" spans="1:20">
      <c r="A74" s="141">
        <v>190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11">
        <f t="shared" si="3"/>
        <v>0</v>
      </c>
      <c r="T74" s="2">
        <f>Resource!R11</f>
        <v>0</v>
      </c>
    </row>
    <row r="75" spans="1:20">
      <c r="A75" s="141">
        <v>185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11">
        <f t="shared" si="3"/>
        <v>0</v>
      </c>
      <c r="T75" s="2">
        <f>Resource!R12</f>
        <v>0</v>
      </c>
    </row>
    <row r="76" spans="1:20">
      <c r="A76" s="141">
        <v>180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11">
        <f t="shared" si="3"/>
        <v>0</v>
      </c>
      <c r="T76" s="2">
        <f>Resource!R13</f>
        <v>0</v>
      </c>
    </row>
    <row r="77" spans="1:20">
      <c r="A77" s="141">
        <v>175</v>
      </c>
      <c r="B77" s="31"/>
      <c r="C77" s="31"/>
      <c r="D77" s="31">
        <f>$T77-SUM($B77:C77)</f>
        <v>8500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11">
        <f t="shared" si="3"/>
        <v>8500</v>
      </c>
      <c r="T77" s="2">
        <f>Resource!R14</f>
        <v>8500</v>
      </c>
    </row>
    <row r="78" spans="1:20">
      <c r="A78" s="141">
        <v>170</v>
      </c>
      <c r="B78" s="31"/>
      <c r="C78" s="31"/>
      <c r="D78" s="31">
        <f>$T78-SUM($B78:C78)</f>
        <v>8000</v>
      </c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11">
        <f t="shared" si="3"/>
        <v>8000</v>
      </c>
      <c r="T78" s="2">
        <f>Resource!R15</f>
        <v>8000</v>
      </c>
    </row>
    <row r="79" spans="1:20">
      <c r="A79" s="146">
        <v>165</v>
      </c>
      <c r="B79" s="31"/>
      <c r="C79" s="31"/>
      <c r="D79" s="31">
        <f>$T79-SUM($B79:C79)</f>
        <v>8000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11">
        <f t="shared" si="3"/>
        <v>8000</v>
      </c>
      <c r="T79" s="2">
        <f>Resource!R16</f>
        <v>8000</v>
      </c>
    </row>
    <row r="80" spans="1:20">
      <c r="A80" s="146">
        <v>160</v>
      </c>
      <c r="B80" s="31"/>
      <c r="C80" s="31"/>
      <c r="D80" s="31">
        <f>$T80-SUM($B80:C80)</f>
        <v>22500</v>
      </c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11">
        <f t="shared" si="3"/>
        <v>22500</v>
      </c>
      <c r="T80" s="2">
        <f>Resource!R17</f>
        <v>22500</v>
      </c>
    </row>
    <row r="81" spans="1:20">
      <c r="A81" s="146">
        <v>155</v>
      </c>
      <c r="B81" s="31"/>
      <c r="C81" s="31"/>
      <c r="D81" s="31"/>
      <c r="E81" s="31">
        <f>IF(Resource!$R18=0,0,E209/$S209*Resource!$R18)</f>
        <v>60000</v>
      </c>
      <c r="F81" s="31">
        <f>IF(Resource!$R18=0,0,F209/$S209*Resource!$R18)</f>
        <v>0</v>
      </c>
      <c r="G81" s="31">
        <f>IF(Resource!$R18=0,0,G209/$S209*Resource!$R18)</f>
        <v>0</v>
      </c>
      <c r="H81" s="31">
        <f>IF(Resource!$R18=0,0,H209/$S209*Resource!$R18)</f>
        <v>0</v>
      </c>
      <c r="I81" s="31">
        <f>IF(Resource!$R18=0,0,I209/$S209*Resource!$R18)</f>
        <v>0</v>
      </c>
      <c r="J81" s="31">
        <f>IF(Resource!$R18=0,0,J209/$S209*Resource!$R18)</f>
        <v>0</v>
      </c>
      <c r="K81" s="31">
        <f>IF(Resource!$R18=0,0,K209/$S209*Resource!$R18)</f>
        <v>0</v>
      </c>
      <c r="L81" s="31">
        <f>IF(Resource!$R18=0,0,L209/$S209*Resource!$R18)</f>
        <v>0</v>
      </c>
      <c r="M81" s="31">
        <f>IF(Resource!$R18=0,0,M209/$S209*Resource!$R18)</f>
        <v>0</v>
      </c>
      <c r="N81" s="31">
        <f>IF(Resource!$R18=0,0,N209/$S209*Resource!$R18)</f>
        <v>0</v>
      </c>
      <c r="O81" s="31">
        <f>IF(Resource!$R18=0,0,O209/$S209*Resource!$R18)</f>
        <v>0</v>
      </c>
      <c r="P81" s="31">
        <f>IF(Resource!$R18=0,0,P209/$S209*Resource!$R18)</f>
        <v>0</v>
      </c>
      <c r="Q81" s="31">
        <f>IF(Resource!$R18=0,0,Q209/$S209*Resource!$R18)</f>
        <v>0</v>
      </c>
      <c r="R81" s="31"/>
      <c r="S81" s="11">
        <f t="shared" si="3"/>
        <v>60000</v>
      </c>
      <c r="T81" s="2">
        <f>Resource!R18</f>
        <v>60000</v>
      </c>
    </row>
    <row r="82" spans="1:20">
      <c r="A82" s="146">
        <v>150</v>
      </c>
      <c r="B82" s="31"/>
      <c r="C82" s="31"/>
      <c r="D82" s="31"/>
      <c r="E82" s="31">
        <f>IF(Resource!$R19=0,0,E210/$S210*Resource!$R19)</f>
        <v>0</v>
      </c>
      <c r="F82" s="31">
        <f>IF(Resource!$R19=0,0,F210/$S210*Resource!$R19)</f>
        <v>0</v>
      </c>
      <c r="G82" s="31">
        <f>IF(Resource!$R19=0,0,G210/$S210*Resource!$R19)</f>
        <v>0</v>
      </c>
      <c r="H82" s="31">
        <f>IF(Resource!$R19=0,0,H210/$S210*Resource!$R19)</f>
        <v>0</v>
      </c>
      <c r="I82" s="31">
        <f>IF(Resource!$R19=0,0,I210/$S210*Resource!$R19)</f>
        <v>0</v>
      </c>
      <c r="J82" s="31">
        <f>IF(Resource!$R19=0,0,J210/$S210*Resource!$R19)</f>
        <v>0</v>
      </c>
      <c r="K82" s="31">
        <f>IF(Resource!$R19=0,0,K210/$S210*Resource!$R19)</f>
        <v>0</v>
      </c>
      <c r="L82" s="31">
        <f>IF(Resource!$R19=0,0,L210/$S210*Resource!$R19)</f>
        <v>0</v>
      </c>
      <c r="M82" s="31">
        <f>IF(Resource!$R19=0,0,M210/$S210*Resource!$R19)</f>
        <v>0</v>
      </c>
      <c r="N82" s="31">
        <f>IF(Resource!$R19=0,0,N210/$S210*Resource!$R19)</f>
        <v>0</v>
      </c>
      <c r="O82" s="31">
        <f>IF(Resource!$R19=0,0,O210/$S210*Resource!$R19)</f>
        <v>0</v>
      </c>
      <c r="P82" s="31">
        <f>IF(Resource!$R19=0,0,P210/$S210*Resource!$R19)</f>
        <v>0</v>
      </c>
      <c r="Q82" s="31">
        <f>IF(Resource!$R19=0,0,Q210/$S210*Resource!$R19)</f>
        <v>0</v>
      </c>
      <c r="R82" s="31"/>
      <c r="S82" s="11">
        <f t="shared" si="3"/>
        <v>0</v>
      </c>
      <c r="T82" s="2">
        <f>Resource!R19</f>
        <v>0</v>
      </c>
    </row>
    <row r="83" spans="1:20">
      <c r="A83" s="146">
        <v>145</v>
      </c>
      <c r="B83" s="31"/>
      <c r="C83" s="31"/>
      <c r="D83" s="31"/>
      <c r="E83" s="31">
        <f>IF(Resource!$R20=0,0,E211/$S211*Resource!$R20)</f>
        <v>0</v>
      </c>
      <c r="F83" s="31">
        <f>IF(Resource!$R20=0,0,F211/$S211*Resource!$R20)</f>
        <v>0</v>
      </c>
      <c r="G83" s="31">
        <f>IF(Resource!$R20=0,0,G211/$S211*Resource!$R20)</f>
        <v>0</v>
      </c>
      <c r="H83" s="31">
        <f>IF(Resource!$R20=0,0,H211/$S211*Resource!$R20)</f>
        <v>0</v>
      </c>
      <c r="I83" s="31">
        <f>IF(Resource!$R20=0,0,I211/$S211*Resource!$R20)</f>
        <v>0</v>
      </c>
      <c r="J83" s="31">
        <f>IF(Resource!$R20=0,0,J211/$S211*Resource!$R20)</f>
        <v>0</v>
      </c>
      <c r="K83" s="31">
        <f>IF(Resource!$R20=0,0,K211/$S211*Resource!$R20)</f>
        <v>0</v>
      </c>
      <c r="L83" s="31">
        <f>IF(Resource!$R20=0,0,L211/$S211*Resource!$R20)</f>
        <v>0</v>
      </c>
      <c r="M83" s="31">
        <f>IF(Resource!$R20=0,0,M211/$S211*Resource!$R20)</f>
        <v>0</v>
      </c>
      <c r="N83" s="31">
        <f>IF(Resource!$R20=0,0,N211/$S211*Resource!$R20)</f>
        <v>0</v>
      </c>
      <c r="O83" s="31">
        <f>IF(Resource!$R20=0,0,O211/$S211*Resource!$R20)</f>
        <v>0</v>
      </c>
      <c r="P83" s="31">
        <f>IF(Resource!$R20=0,0,P211/$S211*Resource!$R20)</f>
        <v>0</v>
      </c>
      <c r="Q83" s="31">
        <f>IF(Resource!$R20=0,0,Q211/$S211*Resource!$R20)</f>
        <v>0</v>
      </c>
      <c r="R83" s="31"/>
      <c r="S83" s="11">
        <f t="shared" si="3"/>
        <v>0</v>
      </c>
      <c r="T83" s="2">
        <f>Resource!R20</f>
        <v>0</v>
      </c>
    </row>
    <row r="84" spans="1:20">
      <c r="A84" s="146">
        <v>140</v>
      </c>
      <c r="B84" s="31"/>
      <c r="C84" s="31"/>
      <c r="D84" s="31"/>
      <c r="E84" s="31">
        <f>IF(Resource!$R21=0,0,E212/$S212*Resource!$R21)</f>
        <v>0</v>
      </c>
      <c r="F84" s="31">
        <f>IF(Resource!$R21=0,0,F212/$S212*Resource!$R21)</f>
        <v>0</v>
      </c>
      <c r="G84" s="31">
        <f>IF(Resource!$R21=0,0,G212/$S212*Resource!$R21)</f>
        <v>0</v>
      </c>
      <c r="H84" s="31">
        <f>IF(Resource!$R21=0,0,H212/$S212*Resource!$R21)</f>
        <v>0</v>
      </c>
      <c r="I84" s="31">
        <f>IF(Resource!$R21=0,0,I212/$S212*Resource!$R21)</f>
        <v>0</v>
      </c>
      <c r="J84" s="31">
        <f>IF(Resource!$R21=0,0,J212/$S212*Resource!$R21)</f>
        <v>0</v>
      </c>
      <c r="K84" s="31">
        <f>IF(Resource!$R21=0,0,K212/$S212*Resource!$R21)</f>
        <v>0</v>
      </c>
      <c r="L84" s="31">
        <f>IF(Resource!$R21=0,0,L212/$S212*Resource!$R21)</f>
        <v>0</v>
      </c>
      <c r="M84" s="31">
        <f>IF(Resource!$R21=0,0,M212/$S212*Resource!$R21)</f>
        <v>0</v>
      </c>
      <c r="N84" s="31">
        <f>IF(Resource!$R21=0,0,N212/$S212*Resource!$R21)</f>
        <v>0</v>
      </c>
      <c r="O84" s="31">
        <f>IF(Resource!$R21=0,0,O212/$S212*Resource!$R21)</f>
        <v>0</v>
      </c>
      <c r="P84" s="31">
        <f>IF(Resource!$R21=0,0,P212/$S212*Resource!$R21)</f>
        <v>0</v>
      </c>
      <c r="Q84" s="31">
        <f>IF(Resource!$R21=0,0,Q212/$S212*Resource!$R21)</f>
        <v>0</v>
      </c>
      <c r="R84" s="31"/>
      <c r="S84" s="11">
        <f t="shared" si="3"/>
        <v>0</v>
      </c>
      <c r="T84" s="2">
        <f>Resource!R21</f>
        <v>0</v>
      </c>
    </row>
    <row r="85" spans="1:20">
      <c r="A85" s="146">
        <v>135</v>
      </c>
      <c r="B85" s="31"/>
      <c r="C85" s="31"/>
      <c r="D85" s="31"/>
      <c r="E85" s="31">
        <f>IF(Resource!$R22=0,0,E213/$S213*Resource!$R22)</f>
        <v>0</v>
      </c>
      <c r="F85" s="31">
        <f>IF(Resource!$R22=0,0,F213/$S213*Resource!$R22)</f>
        <v>0</v>
      </c>
      <c r="G85" s="31">
        <f>IF(Resource!$R22=0,0,G213/$S213*Resource!$R22)</f>
        <v>0</v>
      </c>
      <c r="H85" s="31">
        <f>IF(Resource!$R22=0,0,H213/$S213*Resource!$R22)</f>
        <v>0</v>
      </c>
      <c r="I85" s="31">
        <f>IF(Resource!$R22=0,0,I213/$S213*Resource!$R22)</f>
        <v>0</v>
      </c>
      <c r="J85" s="31">
        <f>IF(Resource!$R22=0,0,J213/$S213*Resource!$R22)</f>
        <v>0</v>
      </c>
      <c r="K85" s="31">
        <f>IF(Resource!$R22=0,0,K213/$S213*Resource!$R22)</f>
        <v>0</v>
      </c>
      <c r="L85" s="31">
        <f>IF(Resource!$R22=0,0,L213/$S213*Resource!$R22)</f>
        <v>0</v>
      </c>
      <c r="M85" s="31">
        <f>IF(Resource!$R22=0,0,M213/$S213*Resource!$R22)</f>
        <v>0</v>
      </c>
      <c r="N85" s="31">
        <f>IF(Resource!$R22=0,0,N213/$S213*Resource!$R22)</f>
        <v>0</v>
      </c>
      <c r="O85" s="31">
        <f>IF(Resource!$R22=0,0,O213/$S213*Resource!$R22)</f>
        <v>0</v>
      </c>
      <c r="P85" s="31">
        <f>IF(Resource!$R22=0,0,P213/$S213*Resource!$R22)</f>
        <v>0</v>
      </c>
      <c r="Q85" s="31">
        <f>IF(Resource!$R22=0,0,Q213/$S213*Resource!$R22)</f>
        <v>0</v>
      </c>
      <c r="R85" s="31"/>
      <c r="S85" s="11">
        <f t="shared" si="3"/>
        <v>0</v>
      </c>
      <c r="T85" s="2">
        <f>Resource!R22</f>
        <v>0</v>
      </c>
    </row>
    <row r="86" spans="1:20">
      <c r="A86" s="146">
        <v>130</v>
      </c>
      <c r="B86" s="31"/>
      <c r="C86" s="31"/>
      <c r="D86" s="31"/>
      <c r="E86" s="31">
        <f>IF(Resource!$R23=0,0,E214/$S214*Resource!$R23)</f>
        <v>0</v>
      </c>
      <c r="F86" s="31">
        <f>IF(Resource!$R23=0,0,F214/$S214*Resource!$R23)</f>
        <v>0</v>
      </c>
      <c r="G86" s="31">
        <f>IF(Resource!$R23=0,0,G214/$S214*Resource!$R23)</f>
        <v>0</v>
      </c>
      <c r="H86" s="31">
        <f>IF(Resource!$R23=0,0,H214/$S214*Resource!$R23)</f>
        <v>0</v>
      </c>
      <c r="I86" s="31">
        <f>IF(Resource!$R23=0,0,I214/$S214*Resource!$R23)</f>
        <v>0</v>
      </c>
      <c r="J86" s="31">
        <f>IF(Resource!$R23=0,0,J214/$S214*Resource!$R23)</f>
        <v>0</v>
      </c>
      <c r="K86" s="31">
        <f>IF(Resource!$R23=0,0,K214/$S214*Resource!$R23)</f>
        <v>0</v>
      </c>
      <c r="L86" s="31">
        <f>IF(Resource!$R23=0,0,L214/$S214*Resource!$R23)</f>
        <v>0</v>
      </c>
      <c r="M86" s="31">
        <f>IF(Resource!$R23=0,0,M214/$S214*Resource!$R23)</f>
        <v>0</v>
      </c>
      <c r="N86" s="31">
        <f>IF(Resource!$R23=0,0,N214/$S214*Resource!$R23)</f>
        <v>0</v>
      </c>
      <c r="O86" s="31">
        <f>IF(Resource!$R23=0,0,O214/$S214*Resource!$R23)</f>
        <v>0</v>
      </c>
      <c r="P86" s="31">
        <f>IF(Resource!$R23=0,0,P214/$S214*Resource!$R23)</f>
        <v>0</v>
      </c>
      <c r="Q86" s="31">
        <f>IF(Resource!$R23=0,0,Q214/$S214*Resource!$R23)</f>
        <v>0</v>
      </c>
      <c r="R86" s="31"/>
      <c r="S86" s="11">
        <f t="shared" si="3"/>
        <v>0</v>
      </c>
      <c r="T86" s="2">
        <f>Resource!R23</f>
        <v>0</v>
      </c>
    </row>
    <row r="87" spans="1:20">
      <c r="A87" s="146">
        <v>125</v>
      </c>
      <c r="B87" s="31"/>
      <c r="C87" s="31"/>
      <c r="D87" s="31"/>
      <c r="E87" s="31">
        <f>IF(Resource!$R24=0,0,E215/$S215*Resource!$R24)</f>
        <v>0</v>
      </c>
      <c r="F87" s="31">
        <f>IF(Resource!$R24=0,0,F215/$S215*Resource!$R24)</f>
        <v>0</v>
      </c>
      <c r="G87" s="31">
        <f>IF(Resource!$R24=0,0,G215/$S215*Resource!$R24)</f>
        <v>0</v>
      </c>
      <c r="H87" s="31">
        <f>IF(Resource!$R24=0,0,H215/$S215*Resource!$R24)</f>
        <v>0</v>
      </c>
      <c r="I87" s="31">
        <f>IF(Resource!$R24=0,0,I215/$S215*Resource!$R24)</f>
        <v>0</v>
      </c>
      <c r="J87" s="31">
        <f>IF(Resource!$R24=0,0,J215/$S215*Resource!$R24)</f>
        <v>0</v>
      </c>
      <c r="K87" s="31">
        <f>IF(Resource!$R24=0,0,K215/$S215*Resource!$R24)</f>
        <v>0</v>
      </c>
      <c r="L87" s="31">
        <f>IF(Resource!$R24=0,0,L215/$S215*Resource!$R24)</f>
        <v>0</v>
      </c>
      <c r="M87" s="31">
        <f>IF(Resource!$R24=0,0,M215/$S215*Resource!$R24)</f>
        <v>0</v>
      </c>
      <c r="N87" s="31">
        <f>IF(Resource!$R24=0,0,N215/$S215*Resource!$R24)</f>
        <v>0</v>
      </c>
      <c r="O87" s="31">
        <f>IF(Resource!$R24=0,0,O215/$S215*Resource!$R24)</f>
        <v>0</v>
      </c>
      <c r="P87" s="31">
        <f>IF(Resource!$R24=0,0,P215/$S215*Resource!$R24)</f>
        <v>0</v>
      </c>
      <c r="Q87" s="31">
        <f>IF(Resource!$R24=0,0,Q215/$S215*Resource!$R24)</f>
        <v>0</v>
      </c>
      <c r="R87" s="31"/>
      <c r="S87" s="11">
        <f t="shared" si="3"/>
        <v>0</v>
      </c>
      <c r="T87" s="2">
        <f>Resource!R24</f>
        <v>0</v>
      </c>
    </row>
    <row r="88" spans="1:20">
      <c r="A88" s="146">
        <v>120</v>
      </c>
      <c r="B88" s="31"/>
      <c r="C88" s="31"/>
      <c r="D88" s="31"/>
      <c r="E88" s="31">
        <f>IF(Resource!$R25=0,0,E216/$S216*Resource!$R25)</f>
        <v>0</v>
      </c>
      <c r="F88" s="31">
        <f>IF(Resource!$R25=0,0,F216/$S216*Resource!$R25)</f>
        <v>0</v>
      </c>
      <c r="G88" s="31">
        <f>IF(Resource!$R25=0,0,G216/$S216*Resource!$R25)</f>
        <v>0</v>
      </c>
      <c r="H88" s="31">
        <f>IF(Resource!$R25=0,0,H216/$S216*Resource!$R25)</f>
        <v>0</v>
      </c>
      <c r="I88" s="31">
        <f>IF(Resource!$R25=0,0,I216/$S216*Resource!$R25)</f>
        <v>0</v>
      </c>
      <c r="J88" s="31">
        <f>IF(Resource!$R25=0,0,J216/$S216*Resource!$R25)</f>
        <v>0</v>
      </c>
      <c r="K88" s="31">
        <f>IF(Resource!$R25=0,0,K216/$S216*Resource!$R25)</f>
        <v>0</v>
      </c>
      <c r="L88" s="31">
        <f>IF(Resource!$R25=0,0,L216/$S216*Resource!$R25)</f>
        <v>0</v>
      </c>
      <c r="M88" s="31">
        <f>IF(Resource!$R25=0,0,M216/$S216*Resource!$R25)</f>
        <v>0</v>
      </c>
      <c r="N88" s="31">
        <f>IF(Resource!$R25=0,0,N216/$S216*Resource!$R25)</f>
        <v>0</v>
      </c>
      <c r="O88" s="31">
        <f>IF(Resource!$R25=0,0,O216/$S216*Resource!$R25)</f>
        <v>0</v>
      </c>
      <c r="P88" s="31">
        <f>IF(Resource!$R25=0,0,P216/$S216*Resource!$R25)</f>
        <v>0</v>
      </c>
      <c r="Q88" s="31">
        <f>IF(Resource!$R25=0,0,Q216/$S216*Resource!$R25)</f>
        <v>0</v>
      </c>
      <c r="R88" s="31"/>
      <c r="S88" s="11">
        <f t="shared" si="3"/>
        <v>0</v>
      </c>
      <c r="T88" s="2">
        <f>Resource!R25</f>
        <v>0</v>
      </c>
    </row>
    <row r="89" spans="1:20">
      <c r="A89" s="146">
        <v>115</v>
      </c>
      <c r="B89" s="31"/>
      <c r="C89" s="31"/>
      <c r="D89" s="31"/>
      <c r="E89" s="31">
        <f>IF(Resource!$R26=0,0,E217/$S217*Resource!$R26)</f>
        <v>0</v>
      </c>
      <c r="F89" s="31">
        <f>IF(Resource!$R26=0,0,F217/$S217*Resource!$R26)</f>
        <v>0</v>
      </c>
      <c r="G89" s="31">
        <f>IF(Resource!$R26=0,0,G217/$S217*Resource!$R26)</f>
        <v>0</v>
      </c>
      <c r="H89" s="31">
        <f>IF(Resource!$R26=0,0,H217/$S217*Resource!$R26)</f>
        <v>0</v>
      </c>
      <c r="I89" s="31">
        <f>IF(Resource!$R26=0,0,I217/$S217*Resource!$R26)</f>
        <v>0</v>
      </c>
      <c r="J89" s="31">
        <f>IF(Resource!$R26=0,0,J217/$S217*Resource!$R26)</f>
        <v>0</v>
      </c>
      <c r="K89" s="31">
        <f>IF(Resource!$R26=0,0,K217/$S217*Resource!$R26)</f>
        <v>0</v>
      </c>
      <c r="L89" s="31">
        <f>IF(Resource!$R26=0,0,L217/$S217*Resource!$R26)</f>
        <v>0</v>
      </c>
      <c r="M89" s="31">
        <f>IF(Resource!$R26=0,0,M217/$S217*Resource!$R26)</f>
        <v>0</v>
      </c>
      <c r="N89" s="31">
        <f>IF(Resource!$R26=0,0,N217/$S217*Resource!$R26)</f>
        <v>0</v>
      </c>
      <c r="O89" s="31">
        <f>IF(Resource!$R26=0,0,O217/$S217*Resource!$R26)</f>
        <v>0</v>
      </c>
      <c r="P89" s="31">
        <f>IF(Resource!$R26=0,0,P217/$S217*Resource!$R26)</f>
        <v>0</v>
      </c>
      <c r="Q89" s="31">
        <f>IF(Resource!$R26=0,0,Q217/$S217*Resource!$R26)</f>
        <v>0</v>
      </c>
      <c r="R89" s="31"/>
      <c r="S89" s="11">
        <f t="shared" si="3"/>
        <v>0</v>
      </c>
      <c r="T89" s="2">
        <f>Resource!R26</f>
        <v>0</v>
      </c>
    </row>
    <row r="90" spans="1:20">
      <c r="A90" s="146">
        <v>110</v>
      </c>
      <c r="B90" s="31"/>
      <c r="C90" s="31"/>
      <c r="D90" s="31"/>
      <c r="E90" s="31">
        <f>IF(Resource!$R27=0,0,E218/$S218*Resource!$R27)</f>
        <v>0</v>
      </c>
      <c r="F90" s="31">
        <f>IF(Resource!$R27=0,0,F218/$S218*Resource!$R27)</f>
        <v>0</v>
      </c>
      <c r="G90" s="31">
        <f>IF(Resource!$R27=0,0,G218/$S218*Resource!$R27)</f>
        <v>0</v>
      </c>
      <c r="H90" s="31">
        <f>IF(Resource!$R27=0,0,H218/$S218*Resource!$R27)</f>
        <v>0</v>
      </c>
      <c r="I90" s="31">
        <f>IF(Resource!$R27=0,0,I218/$S218*Resource!$R27)</f>
        <v>0</v>
      </c>
      <c r="J90" s="31">
        <f>IF(Resource!$R27=0,0,J218/$S218*Resource!$R27)</f>
        <v>0</v>
      </c>
      <c r="K90" s="31">
        <f>IF(Resource!$R27=0,0,K218/$S218*Resource!$R27)</f>
        <v>0</v>
      </c>
      <c r="L90" s="31">
        <f>IF(Resource!$R27=0,0,L218/$S218*Resource!$R27)</f>
        <v>0</v>
      </c>
      <c r="M90" s="31">
        <f>IF(Resource!$R27=0,0,M218/$S218*Resource!$R27)</f>
        <v>0</v>
      </c>
      <c r="N90" s="31">
        <f>IF(Resource!$R27=0,0,N218/$S218*Resource!$R27)</f>
        <v>0</v>
      </c>
      <c r="O90" s="31">
        <f>IF(Resource!$R27=0,0,O218/$S218*Resource!$R27)</f>
        <v>0</v>
      </c>
      <c r="P90" s="31">
        <f>IF(Resource!$R27=0,0,P218/$S218*Resource!$R27)</f>
        <v>0</v>
      </c>
      <c r="Q90" s="31">
        <f>IF(Resource!$R27=0,0,Q218/$S218*Resource!$R27)</f>
        <v>0</v>
      </c>
      <c r="R90" s="31"/>
      <c r="S90" s="11">
        <f t="shared" si="3"/>
        <v>0</v>
      </c>
      <c r="T90" s="2">
        <f>Resource!R27</f>
        <v>0</v>
      </c>
    </row>
    <row r="91" spans="1:20">
      <c r="A91" s="112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11"/>
    </row>
    <row r="92" spans="1:20">
      <c r="A92" s="39" t="s">
        <v>179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11"/>
    </row>
    <row r="93" spans="1:20">
      <c r="A93" s="146">
        <v>150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11">
        <f t="shared" ref="S93:S123" si="4">SUM(B93:R93)</f>
        <v>0</v>
      </c>
      <c r="T93" s="2">
        <f>Resource!R30</f>
        <v>0</v>
      </c>
    </row>
    <row r="94" spans="1:20">
      <c r="A94" s="146">
        <v>145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11">
        <f t="shared" si="4"/>
        <v>0</v>
      </c>
      <c r="T94" s="2">
        <f>Resource!R31</f>
        <v>0</v>
      </c>
    </row>
    <row r="95" spans="1:20">
      <c r="A95" s="146">
        <v>140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11">
        <f t="shared" si="4"/>
        <v>0</v>
      </c>
      <c r="T95" s="2">
        <f>Resource!R32</f>
        <v>0</v>
      </c>
    </row>
    <row r="96" spans="1:20">
      <c r="A96" s="146">
        <v>135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11">
        <f t="shared" si="4"/>
        <v>0</v>
      </c>
      <c r="T96" s="2">
        <f>Resource!R33</f>
        <v>0</v>
      </c>
    </row>
    <row r="97" spans="1:20">
      <c r="A97" s="146">
        <v>130</v>
      </c>
      <c r="B97" s="31"/>
      <c r="C97" s="31"/>
      <c r="D97" s="31"/>
      <c r="E97" s="31"/>
      <c r="F97" s="31"/>
      <c r="G97" s="31">
        <f>$T97-SUM($B97:F97)</f>
        <v>15000</v>
      </c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11">
        <f t="shared" si="4"/>
        <v>15000</v>
      </c>
      <c r="T97" s="2">
        <f>Resource!R34</f>
        <v>15000</v>
      </c>
    </row>
    <row r="98" spans="1:20">
      <c r="A98" s="146">
        <v>125</v>
      </c>
      <c r="B98" s="31"/>
      <c r="C98" s="31"/>
      <c r="D98" s="31"/>
      <c r="E98" s="31">
        <f>IF(Resource!$R35=0,0,E226/$S226*Resource!$R35)</f>
        <v>0</v>
      </c>
      <c r="F98" s="31">
        <f>IF(Resource!$R35=0,0,F226/$S226*Resource!$R35)</f>
        <v>0</v>
      </c>
      <c r="G98" s="31">
        <f>IF(Resource!$R35=0,0,G226/$S226*Resource!$R35)</f>
        <v>8213.8214549839668</v>
      </c>
      <c r="H98" s="31">
        <f>IF(Resource!$R35=0,0,H226/$S226*Resource!$R35)</f>
        <v>22488.571901219162</v>
      </c>
      <c r="I98" s="31">
        <f>IF(Resource!$R35=0,0,I226/$S226*Resource!$R35)</f>
        <v>9297.6066437968711</v>
      </c>
      <c r="J98" s="31">
        <f>IF(Resource!$R35=0,0,J226/$S226*Resource!$R35)</f>
        <v>0</v>
      </c>
      <c r="K98" s="31">
        <f>IF(Resource!$R35=0,0,K226/$S226*Resource!$R35)</f>
        <v>0</v>
      </c>
      <c r="L98" s="31">
        <f>IF(Resource!$R35=0,0,L226/$S226*Resource!$R35)</f>
        <v>0</v>
      </c>
      <c r="M98" s="31">
        <f>IF(Resource!$R35=0,0,M226/$S226*Resource!$R35)</f>
        <v>0</v>
      </c>
      <c r="N98" s="31">
        <f>IF(Resource!$R35=0,0,N226/$S226*Resource!$R35)</f>
        <v>0</v>
      </c>
      <c r="O98" s="31">
        <f>IF(Resource!$R35=0,0,O226/$S226*Resource!$R35)</f>
        <v>0</v>
      </c>
      <c r="P98" s="31">
        <f>IF(Resource!$R35=0,0,P226/$S226*Resource!$R35)</f>
        <v>0</v>
      </c>
      <c r="Q98" s="31">
        <f>IF(Resource!$R35=0,0,Q226/$S226*Resource!$R35)</f>
        <v>0</v>
      </c>
      <c r="R98" s="31"/>
      <c r="S98" s="11">
        <f t="shared" si="4"/>
        <v>40000</v>
      </c>
      <c r="T98" s="2">
        <f>Resource!R35</f>
        <v>40000</v>
      </c>
    </row>
    <row r="99" spans="1:20">
      <c r="A99" s="146">
        <v>120</v>
      </c>
      <c r="B99" s="31"/>
      <c r="C99" s="31"/>
      <c r="D99" s="31"/>
      <c r="E99" s="31">
        <f>IF(Resource!$R36=0,0,E227/$S227*Resource!$R36)</f>
        <v>0</v>
      </c>
      <c r="F99" s="31">
        <f>IF(Resource!$R36=0,0,F227/$S227*Resource!$R36)</f>
        <v>0</v>
      </c>
      <c r="G99" s="31">
        <f>IF(Resource!$R36=0,0,G227/$S227*Resource!$R36)</f>
        <v>0</v>
      </c>
      <c r="H99" s="31">
        <f>IF(Resource!$R36=0,0,H227/$S227*Resource!$R36)</f>
        <v>0</v>
      </c>
      <c r="I99" s="31">
        <f>IF(Resource!$R36=0,0,I227/$S227*Resource!$R36)</f>
        <v>0</v>
      </c>
      <c r="J99" s="31">
        <f>IF(Resource!$R36=0,0,J227/$S227*Resource!$R36)</f>
        <v>0</v>
      </c>
      <c r="K99" s="31">
        <f>IF(Resource!$R36=0,0,K227/$S227*Resource!$R36)</f>
        <v>0</v>
      </c>
      <c r="L99" s="31">
        <f>IF(Resource!$R36=0,0,L227/$S227*Resource!$R36)</f>
        <v>0</v>
      </c>
      <c r="M99" s="31">
        <f>IF(Resource!$R36=0,0,M227/$S227*Resource!$R36)</f>
        <v>0</v>
      </c>
      <c r="N99" s="31">
        <f>IF(Resource!$R36=0,0,N227/$S227*Resource!$R36)</f>
        <v>0</v>
      </c>
      <c r="O99" s="31">
        <f>IF(Resource!$R36=0,0,O227/$S227*Resource!$R36)</f>
        <v>0</v>
      </c>
      <c r="P99" s="31">
        <f>IF(Resource!$R36=0,0,P227/$S227*Resource!$R36)</f>
        <v>0</v>
      </c>
      <c r="Q99" s="31">
        <f>IF(Resource!$R36=0,0,Q227/$S227*Resource!$R36)</f>
        <v>0</v>
      </c>
      <c r="R99" s="31"/>
      <c r="S99" s="11">
        <f t="shared" si="4"/>
        <v>0</v>
      </c>
      <c r="T99" s="2">
        <f>Resource!R36</f>
        <v>0</v>
      </c>
    </row>
    <row r="100" spans="1:20">
      <c r="A100" s="146">
        <v>115</v>
      </c>
      <c r="B100" s="31"/>
      <c r="C100" s="31"/>
      <c r="D100" s="31"/>
      <c r="E100" s="31">
        <f>IF(Resource!$R37=0,0,E228/$S228*Resource!$R37)</f>
        <v>0</v>
      </c>
      <c r="F100" s="31">
        <f>IF(Resource!$R37=0,0,F228/$S228*Resource!$R37)</f>
        <v>0</v>
      </c>
      <c r="G100" s="31">
        <f>IF(Resource!$R37=0,0,G228/$S228*Resource!$R37)</f>
        <v>0</v>
      </c>
      <c r="H100" s="31">
        <f>IF(Resource!$R37=0,0,H228/$S228*Resource!$R37)</f>
        <v>0</v>
      </c>
      <c r="I100" s="31">
        <f>IF(Resource!$R37=0,0,I228/$S228*Resource!$R37)</f>
        <v>0</v>
      </c>
      <c r="J100" s="31">
        <f>IF(Resource!$R37=0,0,J228/$S228*Resource!$R37)</f>
        <v>0</v>
      </c>
      <c r="K100" s="31">
        <f>IF(Resource!$R37=0,0,K228/$S228*Resource!$R37)</f>
        <v>0</v>
      </c>
      <c r="L100" s="31">
        <f>IF(Resource!$R37=0,0,L228/$S228*Resource!$R37)</f>
        <v>0</v>
      </c>
      <c r="M100" s="31">
        <f>IF(Resource!$R37=0,0,M228/$S228*Resource!$R37)</f>
        <v>0</v>
      </c>
      <c r="N100" s="31">
        <f>IF(Resource!$R37=0,0,N228/$S228*Resource!$R37)</f>
        <v>0</v>
      </c>
      <c r="O100" s="31">
        <f>IF(Resource!$R37=0,0,O228/$S228*Resource!$R37)</f>
        <v>0</v>
      </c>
      <c r="P100" s="31">
        <f>IF(Resource!$R37=0,0,P228/$S228*Resource!$R37)</f>
        <v>0</v>
      </c>
      <c r="Q100" s="31">
        <f>IF(Resource!$R37=0,0,Q228/$S228*Resource!$R37)</f>
        <v>0</v>
      </c>
      <c r="R100" s="31"/>
      <c r="S100" s="11">
        <f t="shared" si="4"/>
        <v>0</v>
      </c>
      <c r="T100" s="2">
        <f>Resource!R37</f>
        <v>0</v>
      </c>
    </row>
    <row r="101" spans="1:20">
      <c r="A101" s="146">
        <v>110</v>
      </c>
      <c r="B101" s="31"/>
      <c r="C101" s="31"/>
      <c r="D101" s="31"/>
      <c r="E101" s="31">
        <f>IF(Resource!$R38=0,0,E229/$S229*Resource!$R38)</f>
        <v>0</v>
      </c>
      <c r="F101" s="31">
        <f>IF(Resource!$R38=0,0,F229/$S229*Resource!$R38)</f>
        <v>0</v>
      </c>
      <c r="G101" s="31">
        <f>IF(Resource!$R38=0,0,G229/$S229*Resource!$R38)</f>
        <v>0</v>
      </c>
      <c r="H101" s="31">
        <f>IF(Resource!$R38=0,0,H229/$S229*Resource!$R38)</f>
        <v>0</v>
      </c>
      <c r="I101" s="31">
        <f>IF(Resource!$R38=0,0,I229/$S229*Resource!$R38)</f>
        <v>0</v>
      </c>
      <c r="J101" s="31">
        <f>IF(Resource!$R38=0,0,J229/$S229*Resource!$R38)</f>
        <v>0</v>
      </c>
      <c r="K101" s="31">
        <f>IF(Resource!$R38=0,0,K229/$S229*Resource!$R38)</f>
        <v>0</v>
      </c>
      <c r="L101" s="31">
        <f>IF(Resource!$R38=0,0,L229/$S229*Resource!$R38)</f>
        <v>0</v>
      </c>
      <c r="M101" s="31">
        <f>IF(Resource!$R38=0,0,M229/$S229*Resource!$R38)</f>
        <v>0</v>
      </c>
      <c r="N101" s="31">
        <f>IF(Resource!$R38=0,0,N229/$S229*Resource!$R38)</f>
        <v>0</v>
      </c>
      <c r="O101" s="31">
        <f>IF(Resource!$R38=0,0,O229/$S229*Resource!$R38)</f>
        <v>0</v>
      </c>
      <c r="P101" s="31">
        <f>IF(Resource!$R38=0,0,P229/$S229*Resource!$R38)</f>
        <v>0</v>
      </c>
      <c r="Q101" s="31">
        <f>IF(Resource!$R38=0,0,Q229/$S229*Resource!$R38)</f>
        <v>0</v>
      </c>
      <c r="R101" s="31"/>
      <c r="S101" s="11">
        <f t="shared" si="4"/>
        <v>0</v>
      </c>
      <c r="T101" s="2">
        <f>Resource!R38</f>
        <v>0</v>
      </c>
    </row>
    <row r="102" spans="1:20">
      <c r="A102" s="139">
        <v>105</v>
      </c>
      <c r="B102" s="31"/>
      <c r="C102" s="31"/>
      <c r="D102" s="31"/>
      <c r="E102" s="31">
        <f>IF(Resource!$R39=0,0,E230/$S230*Resource!$R39)</f>
        <v>0</v>
      </c>
      <c r="F102" s="31">
        <f>IF(Resource!$R39=0,0,F230/$S230*Resource!$R39)</f>
        <v>0</v>
      </c>
      <c r="G102" s="31">
        <f>IF(Resource!$R39=0,0,G230/$S230*Resource!$R39)</f>
        <v>0</v>
      </c>
      <c r="H102" s="31">
        <f>IF(Resource!$R39=0,0,H230/$S230*Resource!$R39)</f>
        <v>0</v>
      </c>
      <c r="I102" s="31">
        <f>IF(Resource!$R39=0,0,I230/$S230*Resource!$R39)</f>
        <v>0</v>
      </c>
      <c r="J102" s="31">
        <f>IF(Resource!$R39=0,0,J230/$S230*Resource!$R39)</f>
        <v>0</v>
      </c>
      <c r="K102" s="31">
        <f>IF(Resource!$R39=0,0,K230/$S230*Resource!$R39)</f>
        <v>0</v>
      </c>
      <c r="L102" s="31">
        <f>IF(Resource!$R39=0,0,L230/$S230*Resource!$R39)</f>
        <v>0</v>
      </c>
      <c r="M102" s="31">
        <f>IF(Resource!$R39=0,0,M230/$S230*Resource!$R39)</f>
        <v>0</v>
      </c>
      <c r="N102" s="31">
        <f>IF(Resource!$R39=0,0,N230/$S230*Resource!$R39)</f>
        <v>0</v>
      </c>
      <c r="O102" s="31">
        <f>IF(Resource!$R39=0,0,O230/$S230*Resource!$R39)</f>
        <v>0</v>
      </c>
      <c r="P102" s="31">
        <f>IF(Resource!$R39=0,0,P230/$S230*Resource!$R39)</f>
        <v>0</v>
      </c>
      <c r="Q102" s="31">
        <f>IF(Resource!$R39=0,0,Q230/$S230*Resource!$R39)</f>
        <v>0</v>
      </c>
      <c r="R102" s="31"/>
      <c r="S102" s="11">
        <f t="shared" si="4"/>
        <v>0</v>
      </c>
      <c r="T102" s="2">
        <f>Resource!R39</f>
        <v>0</v>
      </c>
    </row>
    <row r="103" spans="1:20">
      <c r="A103" s="139">
        <v>100</v>
      </c>
      <c r="B103" s="31"/>
      <c r="C103" s="31"/>
      <c r="D103" s="31"/>
      <c r="E103" s="31">
        <f>IF(Resource!$R40=0,0,E231/$S231*Resource!$R40)</f>
        <v>0</v>
      </c>
      <c r="F103" s="31">
        <f>IF(Resource!$R40=0,0,F231/$S231*Resource!$R40)</f>
        <v>0</v>
      </c>
      <c r="G103" s="31">
        <f>IF(Resource!$R40=0,0,G231/$S231*Resource!$R40)</f>
        <v>0</v>
      </c>
      <c r="H103" s="31">
        <f>IF(Resource!$R40=0,0,H231/$S231*Resource!$R40)</f>
        <v>0</v>
      </c>
      <c r="I103" s="31">
        <f>IF(Resource!$R40=0,0,I231/$S231*Resource!$R40)</f>
        <v>0</v>
      </c>
      <c r="J103" s="31">
        <f>IF(Resource!$R40=0,0,J231/$S231*Resource!$R40)</f>
        <v>0</v>
      </c>
      <c r="K103" s="31">
        <f>IF(Resource!$R40=0,0,K231/$S231*Resource!$R40)</f>
        <v>0</v>
      </c>
      <c r="L103" s="31">
        <f>IF(Resource!$R40=0,0,L231/$S231*Resource!$R40)</f>
        <v>0</v>
      </c>
      <c r="M103" s="31">
        <f>IF(Resource!$R40=0,0,M231/$S231*Resource!$R40)</f>
        <v>0</v>
      </c>
      <c r="N103" s="31">
        <f>IF(Resource!$R40=0,0,N231/$S231*Resource!$R40)</f>
        <v>0</v>
      </c>
      <c r="O103" s="31">
        <f>IF(Resource!$R40=0,0,O231/$S231*Resource!$R40)</f>
        <v>0</v>
      </c>
      <c r="P103" s="31">
        <f>IF(Resource!$R40=0,0,P231/$S231*Resource!$R40)</f>
        <v>0</v>
      </c>
      <c r="Q103" s="31">
        <f>IF(Resource!$R40=0,0,Q231/$S231*Resource!$R40)</f>
        <v>0</v>
      </c>
      <c r="R103" s="31"/>
      <c r="S103" s="11">
        <f t="shared" si="4"/>
        <v>0</v>
      </c>
      <c r="T103" s="2">
        <f>Resource!R40</f>
        <v>0</v>
      </c>
    </row>
    <row r="104" spans="1:20">
      <c r="A104" s="139">
        <v>95</v>
      </c>
      <c r="B104" s="31"/>
      <c r="C104" s="31"/>
      <c r="D104" s="31"/>
      <c r="E104" s="31">
        <f>IF(Resource!$R41=0,0,E232/$S232*Resource!$R41)</f>
        <v>0</v>
      </c>
      <c r="F104" s="31">
        <f>IF(Resource!$R41=0,0,F232/$S232*Resource!$R41)</f>
        <v>0</v>
      </c>
      <c r="G104" s="31">
        <f>IF(Resource!$R41=0,0,G232/$S232*Resource!$R41)</f>
        <v>0</v>
      </c>
      <c r="H104" s="31">
        <f>IF(Resource!$R41=0,0,H232/$S232*Resource!$R41)</f>
        <v>0</v>
      </c>
      <c r="I104" s="31">
        <f>IF(Resource!$R41=0,0,I232/$S232*Resource!$R41)</f>
        <v>0</v>
      </c>
      <c r="J104" s="31">
        <f>IF(Resource!$R41=0,0,J232/$S232*Resource!$R41)</f>
        <v>0</v>
      </c>
      <c r="K104" s="31">
        <f>IF(Resource!$R41=0,0,K232/$S232*Resource!$R41)</f>
        <v>0</v>
      </c>
      <c r="L104" s="31">
        <f>IF(Resource!$R41=0,0,L232/$S232*Resource!$R41)</f>
        <v>0</v>
      </c>
      <c r="M104" s="31">
        <f>IF(Resource!$R41=0,0,M232/$S232*Resource!$R41)</f>
        <v>0</v>
      </c>
      <c r="N104" s="31">
        <f>IF(Resource!$R41=0,0,N232/$S232*Resource!$R41)</f>
        <v>0</v>
      </c>
      <c r="O104" s="31">
        <f>IF(Resource!$R41=0,0,O232/$S232*Resource!$R41)</f>
        <v>0</v>
      </c>
      <c r="P104" s="31">
        <f>IF(Resource!$R41=0,0,P232/$S232*Resource!$R41)</f>
        <v>0</v>
      </c>
      <c r="Q104" s="31">
        <f>IF(Resource!$R41=0,0,Q232/$S232*Resource!$R41)</f>
        <v>0</v>
      </c>
      <c r="R104" s="31"/>
      <c r="S104" s="11">
        <f t="shared" si="4"/>
        <v>0</v>
      </c>
      <c r="T104" s="2">
        <f>Resource!R41</f>
        <v>0</v>
      </c>
    </row>
    <row r="105" spans="1:20">
      <c r="A105" s="139">
        <v>90</v>
      </c>
      <c r="B105" s="31"/>
      <c r="C105" s="31"/>
      <c r="D105" s="31"/>
      <c r="E105" s="31">
        <f>IF(Resource!$R42=0,0,E233/$S233*Resource!$R42)</f>
        <v>0</v>
      </c>
      <c r="F105" s="31">
        <f>IF(Resource!$R42=0,0,F233/$S233*Resource!$R42)</f>
        <v>0</v>
      </c>
      <c r="G105" s="31">
        <f>IF(Resource!$R42=0,0,G233/$S233*Resource!$R42)</f>
        <v>0</v>
      </c>
      <c r="H105" s="31">
        <f>IF(Resource!$R42=0,0,H233/$S233*Resource!$R42)</f>
        <v>0</v>
      </c>
      <c r="I105" s="31">
        <f>IF(Resource!$R42=0,0,I233/$S233*Resource!$R42)</f>
        <v>0</v>
      </c>
      <c r="J105" s="31">
        <f>IF(Resource!$R42=0,0,J233/$S233*Resource!$R42)</f>
        <v>0</v>
      </c>
      <c r="K105" s="31">
        <f>IF(Resource!$R42=0,0,K233/$S233*Resource!$R42)</f>
        <v>0</v>
      </c>
      <c r="L105" s="31">
        <f>IF(Resource!$R42=0,0,L233/$S233*Resource!$R42)</f>
        <v>0</v>
      </c>
      <c r="M105" s="31">
        <f>IF(Resource!$R42=0,0,M233/$S233*Resource!$R42)</f>
        <v>0</v>
      </c>
      <c r="N105" s="31">
        <f>IF(Resource!$R42=0,0,N233/$S233*Resource!$R42)</f>
        <v>0</v>
      </c>
      <c r="O105" s="31">
        <f>IF(Resource!$R42=0,0,O233/$S233*Resource!$R42)</f>
        <v>0</v>
      </c>
      <c r="P105" s="31">
        <f>IF(Resource!$R42=0,0,P233/$S233*Resource!$R42)</f>
        <v>0</v>
      </c>
      <c r="Q105" s="31">
        <f>IF(Resource!$R42=0,0,Q233/$S233*Resource!$R42)</f>
        <v>0</v>
      </c>
      <c r="R105" s="31"/>
      <c r="S105" s="11">
        <f t="shared" si="4"/>
        <v>0</v>
      </c>
      <c r="T105" s="2">
        <f>Resource!R42</f>
        <v>0</v>
      </c>
    </row>
    <row r="106" spans="1:20">
      <c r="A106" s="139">
        <v>85</v>
      </c>
      <c r="B106" s="31"/>
      <c r="C106" s="31"/>
      <c r="D106" s="31"/>
      <c r="E106" s="31">
        <f>IF(Resource!$R43=0,0,E234/$S234*Resource!$R43)</f>
        <v>0</v>
      </c>
      <c r="F106" s="31">
        <f>IF(Resource!$R43=0,0,F234/$S234*Resource!$R43)</f>
        <v>0</v>
      </c>
      <c r="G106" s="31">
        <f>IF(Resource!$R43=0,0,G234/$S234*Resource!$R43)</f>
        <v>0</v>
      </c>
      <c r="H106" s="31">
        <f>IF(Resource!$R43=0,0,H234/$S234*Resource!$R43)</f>
        <v>0</v>
      </c>
      <c r="I106" s="31">
        <f>IF(Resource!$R43=0,0,I234/$S234*Resource!$R43)</f>
        <v>0</v>
      </c>
      <c r="J106" s="31">
        <f>IF(Resource!$R43=0,0,J234/$S234*Resource!$R43)</f>
        <v>0</v>
      </c>
      <c r="K106" s="31">
        <f>IF(Resource!$R43=0,0,K234/$S234*Resource!$R43)</f>
        <v>0</v>
      </c>
      <c r="L106" s="31">
        <f>IF(Resource!$R43=0,0,L234/$S234*Resource!$R43)</f>
        <v>0</v>
      </c>
      <c r="M106" s="31">
        <f>IF(Resource!$R43=0,0,M234/$S234*Resource!$R43)</f>
        <v>0</v>
      </c>
      <c r="N106" s="31">
        <f>IF(Resource!$R43=0,0,N234/$S234*Resource!$R43)</f>
        <v>0</v>
      </c>
      <c r="O106" s="31">
        <f>IF(Resource!$R43=0,0,O234/$S234*Resource!$R43)</f>
        <v>0</v>
      </c>
      <c r="P106" s="31">
        <f>IF(Resource!$R43=0,0,P234/$S234*Resource!$R43)</f>
        <v>0</v>
      </c>
      <c r="Q106" s="31">
        <f>IF(Resource!$R43=0,0,Q234/$S234*Resource!$R43)</f>
        <v>0</v>
      </c>
      <c r="R106" s="31"/>
      <c r="S106" s="11">
        <f t="shared" si="4"/>
        <v>0</v>
      </c>
      <c r="T106" s="2">
        <f>Resource!R43</f>
        <v>0</v>
      </c>
    </row>
    <row r="107" spans="1:20">
      <c r="A107" s="141">
        <v>80</v>
      </c>
      <c r="B107" s="31"/>
      <c r="C107" s="31"/>
      <c r="D107" s="31"/>
      <c r="E107" s="31">
        <f>IF(Resource!$R44=0,0,E235/$S235*Resource!$R44)</f>
        <v>0</v>
      </c>
      <c r="F107" s="31">
        <f>IF(Resource!$R44=0,0,F235/$S235*Resource!$R44)</f>
        <v>0</v>
      </c>
      <c r="G107" s="31">
        <f>IF(Resource!$R44=0,0,G235/$S235*Resource!$R44)</f>
        <v>0</v>
      </c>
      <c r="H107" s="31">
        <f>IF(Resource!$R44=0,0,H235/$S235*Resource!$R44)</f>
        <v>0</v>
      </c>
      <c r="I107" s="31">
        <f>IF(Resource!$R44=0,0,I235/$S235*Resource!$R44)</f>
        <v>0</v>
      </c>
      <c r="J107" s="31">
        <f>IF(Resource!$R44=0,0,J235/$S235*Resource!$R44)</f>
        <v>0</v>
      </c>
      <c r="K107" s="31">
        <f>IF(Resource!$R44=0,0,K235/$S235*Resource!$R44)</f>
        <v>0</v>
      </c>
      <c r="L107" s="31">
        <f>IF(Resource!$R44=0,0,L235/$S235*Resource!$R44)</f>
        <v>0</v>
      </c>
      <c r="M107" s="31">
        <f>IF(Resource!$R44=0,0,M235/$S235*Resource!$R44)</f>
        <v>0</v>
      </c>
      <c r="N107" s="31">
        <f>IF(Resource!$R44=0,0,N235/$S235*Resource!$R44)</f>
        <v>0</v>
      </c>
      <c r="O107" s="31">
        <f>IF(Resource!$R44=0,0,O235/$S235*Resource!$R44)</f>
        <v>0</v>
      </c>
      <c r="P107" s="31">
        <f>IF(Resource!$R44=0,0,P235/$S235*Resource!$R44)</f>
        <v>0</v>
      </c>
      <c r="Q107" s="31">
        <f>IF(Resource!$R44=0,0,Q235/$S235*Resource!$R44)</f>
        <v>0</v>
      </c>
      <c r="R107" s="31"/>
      <c r="S107" s="11">
        <f t="shared" si="4"/>
        <v>0</v>
      </c>
      <c r="T107" s="2">
        <f>Resource!R44</f>
        <v>0</v>
      </c>
    </row>
    <row r="108" spans="1:20">
      <c r="A108" s="141">
        <v>75</v>
      </c>
      <c r="B108" s="31"/>
      <c r="C108" s="31"/>
      <c r="D108" s="31"/>
      <c r="E108" s="31">
        <f>IF(Resource!$R45=0,0,E236/$S236*Resource!$R45)</f>
        <v>0</v>
      </c>
      <c r="F108" s="31">
        <f>IF(Resource!$R45=0,0,F236/$S236*Resource!$R45)</f>
        <v>0</v>
      </c>
      <c r="G108" s="31">
        <f>IF(Resource!$R45=0,0,G236/$S236*Resource!$R45)</f>
        <v>0</v>
      </c>
      <c r="H108" s="31">
        <f>IF(Resource!$R45=0,0,H236/$S236*Resource!$R45)</f>
        <v>0</v>
      </c>
      <c r="I108" s="31">
        <f>IF(Resource!$R45=0,0,I236/$S236*Resource!$R45)</f>
        <v>0</v>
      </c>
      <c r="J108" s="31">
        <f>IF(Resource!$R45=0,0,J236/$S236*Resource!$R45)</f>
        <v>0</v>
      </c>
      <c r="K108" s="31">
        <f>IF(Resource!$R45=0,0,K236/$S236*Resource!$R45)</f>
        <v>0</v>
      </c>
      <c r="L108" s="31">
        <f>IF(Resource!$R45=0,0,L236/$S236*Resource!$R45)</f>
        <v>0</v>
      </c>
      <c r="M108" s="31">
        <f>IF(Resource!$R45=0,0,M236/$S236*Resource!$R45)</f>
        <v>0</v>
      </c>
      <c r="N108" s="31">
        <f>IF(Resource!$R45=0,0,N236/$S236*Resource!$R45)</f>
        <v>0</v>
      </c>
      <c r="O108" s="31">
        <f>IF(Resource!$R45=0,0,O236/$S236*Resource!$R45)</f>
        <v>0</v>
      </c>
      <c r="P108" s="31">
        <f>IF(Resource!$R45=0,0,P236/$S236*Resource!$R45)</f>
        <v>0</v>
      </c>
      <c r="Q108" s="31">
        <f>IF(Resource!$R45=0,0,Q236/$S236*Resource!$R45)</f>
        <v>0</v>
      </c>
      <c r="R108" s="31"/>
      <c r="S108" s="11">
        <f t="shared" si="4"/>
        <v>0</v>
      </c>
      <c r="T108" s="2">
        <f>Resource!R45</f>
        <v>0</v>
      </c>
    </row>
    <row r="109" spans="1:20">
      <c r="A109" s="141">
        <v>70</v>
      </c>
      <c r="B109" s="31"/>
      <c r="C109" s="31"/>
      <c r="D109" s="31"/>
      <c r="E109" s="31">
        <f>IF(Resource!$R46=0,0,E237/$S237*Resource!$R46)</f>
        <v>0</v>
      </c>
      <c r="F109" s="31">
        <f>IF(Resource!$R46=0,0,F237/$S237*Resource!$R46)</f>
        <v>0</v>
      </c>
      <c r="G109" s="31">
        <f>IF(Resource!$R46=0,0,G237/$S237*Resource!$R46)</f>
        <v>0</v>
      </c>
      <c r="H109" s="31">
        <f>IF(Resource!$R46=0,0,H237/$S237*Resource!$R46)</f>
        <v>0</v>
      </c>
      <c r="I109" s="31">
        <f>IF(Resource!$R46=0,0,I237/$S237*Resource!$R46)</f>
        <v>0</v>
      </c>
      <c r="J109" s="31">
        <f>IF(Resource!$R46=0,0,J237/$S237*Resource!$R46)</f>
        <v>0</v>
      </c>
      <c r="K109" s="31">
        <f>IF(Resource!$R46=0,0,K237/$S237*Resource!$R46)</f>
        <v>0</v>
      </c>
      <c r="L109" s="31">
        <f>IF(Resource!$R46=0,0,L237/$S237*Resource!$R46)</f>
        <v>0</v>
      </c>
      <c r="M109" s="31">
        <f>IF(Resource!$R46=0,0,M237/$S237*Resource!$R46)</f>
        <v>0</v>
      </c>
      <c r="N109" s="31">
        <f>IF(Resource!$R46=0,0,N237/$S237*Resource!$R46)</f>
        <v>0</v>
      </c>
      <c r="O109" s="31">
        <f>IF(Resource!$R46=0,0,O237/$S237*Resource!$R46)</f>
        <v>0</v>
      </c>
      <c r="P109" s="31">
        <f>IF(Resource!$R46=0,0,P237/$S237*Resource!$R46)</f>
        <v>0</v>
      </c>
      <c r="Q109" s="31">
        <f>IF(Resource!$R46=0,0,Q237/$S237*Resource!$R46)</f>
        <v>0</v>
      </c>
      <c r="R109" s="31"/>
      <c r="S109" s="11">
        <f t="shared" si="4"/>
        <v>0</v>
      </c>
      <c r="T109" s="2">
        <f>Resource!R46</f>
        <v>0</v>
      </c>
    </row>
    <row r="110" spans="1:20">
      <c r="A110" s="141">
        <v>65</v>
      </c>
      <c r="B110" s="31"/>
      <c r="C110" s="31"/>
      <c r="D110" s="31"/>
      <c r="E110" s="31">
        <f>IF(Resource!$R47=0,0,E238/$S238*Resource!$R47)</f>
        <v>0</v>
      </c>
      <c r="F110" s="31">
        <f>IF(Resource!$R47=0,0,F238/$S238*Resource!$R47)</f>
        <v>0</v>
      </c>
      <c r="G110" s="31">
        <f>IF(Resource!$R47=0,0,G238/$S238*Resource!$R47)</f>
        <v>0</v>
      </c>
      <c r="H110" s="31">
        <f>IF(Resource!$R47=0,0,H238/$S238*Resource!$R47)</f>
        <v>0</v>
      </c>
      <c r="I110" s="31">
        <f>IF(Resource!$R47=0,0,I238/$S238*Resource!$R47)</f>
        <v>0</v>
      </c>
      <c r="J110" s="31">
        <f>IF(Resource!$R47=0,0,J238/$S238*Resource!$R47)</f>
        <v>0</v>
      </c>
      <c r="K110" s="31">
        <f>IF(Resource!$R47=0,0,K238/$S238*Resource!$R47)</f>
        <v>0</v>
      </c>
      <c r="L110" s="31">
        <f>IF(Resource!$R47=0,0,L238/$S238*Resource!$R47)</f>
        <v>0</v>
      </c>
      <c r="M110" s="31">
        <f>IF(Resource!$R47=0,0,M238/$S238*Resource!$R47)</f>
        <v>0</v>
      </c>
      <c r="N110" s="31">
        <f>IF(Resource!$R47=0,0,N238/$S238*Resource!$R47)</f>
        <v>0</v>
      </c>
      <c r="O110" s="31">
        <f>IF(Resource!$R47=0,0,O238/$S238*Resource!$R47)</f>
        <v>0</v>
      </c>
      <c r="P110" s="31">
        <f>IF(Resource!$R47=0,0,P238/$S238*Resource!$R47)</f>
        <v>0</v>
      </c>
      <c r="Q110" s="31">
        <f>IF(Resource!$R47=0,0,Q238/$S238*Resource!$R47)</f>
        <v>0</v>
      </c>
      <c r="R110" s="31"/>
      <c r="S110" s="11">
        <f t="shared" si="4"/>
        <v>0</v>
      </c>
      <c r="T110" s="2">
        <f>Resource!R47</f>
        <v>0</v>
      </c>
    </row>
    <row r="111" spans="1:20">
      <c r="A111" s="141">
        <v>60</v>
      </c>
      <c r="B111" s="31"/>
      <c r="C111" s="31"/>
      <c r="D111" s="31"/>
      <c r="E111" s="31">
        <f>IF(Resource!$R48=0,0,E239/$S239*Resource!$R48)</f>
        <v>0</v>
      </c>
      <c r="F111" s="31">
        <f>IF(Resource!$R48=0,0,F239/$S239*Resource!$R48)</f>
        <v>0</v>
      </c>
      <c r="G111" s="31">
        <f>IF(Resource!$R48=0,0,G239/$S239*Resource!$R48)</f>
        <v>0</v>
      </c>
      <c r="H111" s="31">
        <f>IF(Resource!$R48=0,0,H239/$S239*Resource!$R48)</f>
        <v>0</v>
      </c>
      <c r="I111" s="31">
        <f>IF(Resource!$R48=0,0,I239/$S239*Resource!$R48)</f>
        <v>0</v>
      </c>
      <c r="J111" s="31">
        <f>IF(Resource!$R48=0,0,J239/$S239*Resource!$R48)</f>
        <v>0</v>
      </c>
      <c r="K111" s="31">
        <f>IF(Resource!$R48=0,0,K239/$S239*Resource!$R48)</f>
        <v>0</v>
      </c>
      <c r="L111" s="31">
        <f>IF(Resource!$R48=0,0,L239/$S239*Resource!$R48)</f>
        <v>0</v>
      </c>
      <c r="M111" s="31">
        <f>IF(Resource!$R48=0,0,M239/$S239*Resource!$R48)</f>
        <v>0</v>
      </c>
      <c r="N111" s="31">
        <f>IF(Resource!$R48=0,0,N239/$S239*Resource!$R48)</f>
        <v>0</v>
      </c>
      <c r="O111" s="31">
        <f>IF(Resource!$R48=0,0,O239/$S239*Resource!$R48)</f>
        <v>0</v>
      </c>
      <c r="P111" s="31">
        <f>IF(Resource!$R48=0,0,P239/$S239*Resource!$R48)</f>
        <v>0</v>
      </c>
      <c r="Q111" s="31">
        <f>IF(Resource!$R48=0,0,Q239/$S239*Resource!$R48)</f>
        <v>0</v>
      </c>
      <c r="R111" s="31"/>
      <c r="S111" s="11">
        <f t="shared" si="4"/>
        <v>0</v>
      </c>
      <c r="T111" s="2">
        <f>Resource!R48</f>
        <v>0</v>
      </c>
    </row>
    <row r="112" spans="1:20">
      <c r="A112" s="146">
        <v>55</v>
      </c>
      <c r="B112" s="31"/>
      <c r="C112" s="31"/>
      <c r="D112" s="31"/>
      <c r="E112" s="31">
        <f>IF(Resource!$R49=0,0,E240/$S240*Resource!$R49)</f>
        <v>0</v>
      </c>
      <c r="F112" s="31">
        <f>IF(Resource!$R49=0,0,F240/$S240*Resource!$R49)</f>
        <v>0</v>
      </c>
      <c r="G112" s="31">
        <f>IF(Resource!$R49=0,0,G240/$S240*Resource!$R49)</f>
        <v>0</v>
      </c>
      <c r="H112" s="31">
        <f>IF(Resource!$R49=0,0,H240/$S240*Resource!$R49)</f>
        <v>0</v>
      </c>
      <c r="I112" s="31">
        <f>IF(Resource!$R49=0,0,I240/$S240*Resource!$R49)</f>
        <v>0</v>
      </c>
      <c r="J112" s="31">
        <f>IF(Resource!$R49=0,0,J240/$S240*Resource!$R49)</f>
        <v>0</v>
      </c>
      <c r="K112" s="31">
        <f>IF(Resource!$R49=0,0,K240/$S240*Resource!$R49)</f>
        <v>0</v>
      </c>
      <c r="L112" s="31">
        <f>IF(Resource!$R49=0,0,L240/$S240*Resource!$R49)</f>
        <v>0</v>
      </c>
      <c r="M112" s="31">
        <f>IF(Resource!$R49=0,0,M240/$S240*Resource!$R49)</f>
        <v>0</v>
      </c>
      <c r="N112" s="31">
        <f>IF(Resource!$R49=0,0,N240/$S240*Resource!$R49)</f>
        <v>0</v>
      </c>
      <c r="O112" s="31">
        <f>IF(Resource!$R49=0,0,O240/$S240*Resource!$R49)</f>
        <v>0</v>
      </c>
      <c r="P112" s="31">
        <f>IF(Resource!$R49=0,0,P240/$S240*Resource!$R49)</f>
        <v>0</v>
      </c>
      <c r="Q112" s="31">
        <f>IF(Resource!$R49=0,0,Q240/$S240*Resource!$R49)</f>
        <v>0</v>
      </c>
      <c r="R112" s="31"/>
      <c r="S112" s="11">
        <f t="shared" si="4"/>
        <v>0</v>
      </c>
      <c r="T112" s="2">
        <f>Resource!R49</f>
        <v>0</v>
      </c>
    </row>
    <row r="113" spans="1:20">
      <c r="A113" s="146">
        <v>50</v>
      </c>
      <c r="B113" s="31"/>
      <c r="C113" s="31"/>
      <c r="D113" s="31"/>
      <c r="E113" s="31">
        <f>IF(Resource!$R50=0,0,E241/$S241*Resource!$R50)</f>
        <v>0</v>
      </c>
      <c r="F113" s="31">
        <f>IF(Resource!$R50=0,0,F241/$S241*Resource!$R50)</f>
        <v>0</v>
      </c>
      <c r="G113" s="31">
        <f>IF(Resource!$R50=0,0,G241/$S241*Resource!$R50)</f>
        <v>0</v>
      </c>
      <c r="H113" s="31">
        <f>IF(Resource!$R50=0,0,H241/$S241*Resource!$R50)</f>
        <v>0</v>
      </c>
      <c r="I113" s="31">
        <f>IF(Resource!$R50=0,0,I241/$S241*Resource!$R50)</f>
        <v>0</v>
      </c>
      <c r="J113" s="31">
        <f>IF(Resource!$R50=0,0,J241/$S241*Resource!$R50)</f>
        <v>0</v>
      </c>
      <c r="K113" s="31">
        <f>IF(Resource!$R50=0,0,K241/$S241*Resource!$R50)</f>
        <v>0</v>
      </c>
      <c r="L113" s="31">
        <f>IF(Resource!$R50=0,0,L241/$S241*Resource!$R50)</f>
        <v>0</v>
      </c>
      <c r="M113" s="31">
        <f>IF(Resource!$R50=0,0,M241/$S241*Resource!$R50)</f>
        <v>0</v>
      </c>
      <c r="N113" s="31">
        <f>IF(Resource!$R50=0,0,N241/$S241*Resource!$R50)</f>
        <v>0</v>
      </c>
      <c r="O113" s="31">
        <f>IF(Resource!$R50=0,0,O241/$S241*Resource!$R50)</f>
        <v>0</v>
      </c>
      <c r="P113" s="31">
        <f>IF(Resource!$R50=0,0,P241/$S241*Resource!$R50)</f>
        <v>0</v>
      </c>
      <c r="Q113" s="31">
        <f>IF(Resource!$R50=0,0,Q241/$S241*Resource!$R50)</f>
        <v>0</v>
      </c>
      <c r="R113" s="31"/>
      <c r="S113" s="11">
        <f t="shared" si="4"/>
        <v>0</v>
      </c>
      <c r="T113" s="2">
        <f>Resource!R50</f>
        <v>0</v>
      </c>
    </row>
    <row r="114" spans="1:20">
      <c r="A114" s="146">
        <v>45</v>
      </c>
      <c r="B114" s="31"/>
      <c r="C114" s="31"/>
      <c r="D114" s="31"/>
      <c r="E114" s="31">
        <f>IF(Resource!$R51=0,0,E242/$S242*Resource!$R51)</f>
        <v>0</v>
      </c>
      <c r="F114" s="31">
        <f>IF(Resource!$R51=0,0,F242/$S242*Resource!$R51)</f>
        <v>0</v>
      </c>
      <c r="G114" s="31">
        <f>IF(Resource!$R51=0,0,G242/$S242*Resource!$R51)</f>
        <v>0</v>
      </c>
      <c r="H114" s="31">
        <f>IF(Resource!$R51=0,0,H242/$S242*Resource!$R51)</f>
        <v>0</v>
      </c>
      <c r="I114" s="31">
        <f>IF(Resource!$R51=0,0,I242/$S242*Resource!$R51)</f>
        <v>0</v>
      </c>
      <c r="J114" s="31">
        <f>IF(Resource!$R51=0,0,J242/$S242*Resource!$R51)</f>
        <v>0</v>
      </c>
      <c r="K114" s="31">
        <f>IF(Resource!$R51=0,0,K242/$S242*Resource!$R51)</f>
        <v>0</v>
      </c>
      <c r="L114" s="31">
        <f>IF(Resource!$R51=0,0,L242/$S242*Resource!$R51)</f>
        <v>0</v>
      </c>
      <c r="M114" s="31">
        <f>IF(Resource!$R51=0,0,M242/$S242*Resource!$R51)</f>
        <v>0</v>
      </c>
      <c r="N114" s="31">
        <f>IF(Resource!$R51=0,0,N242/$S242*Resource!$R51)</f>
        <v>0</v>
      </c>
      <c r="O114" s="31">
        <f>IF(Resource!$R51=0,0,O242/$S242*Resource!$R51)</f>
        <v>0</v>
      </c>
      <c r="P114" s="31">
        <f>IF(Resource!$R51=0,0,P242/$S242*Resource!$R51)</f>
        <v>0</v>
      </c>
      <c r="Q114" s="31">
        <f>IF(Resource!$R51=0,0,Q242/$S242*Resource!$R51)</f>
        <v>0</v>
      </c>
      <c r="R114" s="31"/>
      <c r="S114" s="11">
        <f t="shared" si="4"/>
        <v>0</v>
      </c>
      <c r="T114" s="2">
        <f>Resource!R51</f>
        <v>0</v>
      </c>
    </row>
    <row r="115" spans="1:20">
      <c r="A115" s="146">
        <v>40</v>
      </c>
      <c r="B115" s="31"/>
      <c r="C115" s="31"/>
      <c r="D115" s="31"/>
      <c r="E115" s="31">
        <f>IF(Resource!$R52=0,0,E243/$S243*Resource!$R52)</f>
        <v>0</v>
      </c>
      <c r="F115" s="31">
        <f>IF(Resource!$R52=0,0,F243/$S243*Resource!$R52)</f>
        <v>0</v>
      </c>
      <c r="G115" s="31">
        <f>IF(Resource!$R52=0,0,G243/$S243*Resource!$R52)</f>
        <v>0</v>
      </c>
      <c r="H115" s="31">
        <f>IF(Resource!$R52=0,0,H243/$S243*Resource!$R52)</f>
        <v>0</v>
      </c>
      <c r="I115" s="31">
        <f>IF(Resource!$R52=0,0,I243/$S243*Resource!$R52)</f>
        <v>0</v>
      </c>
      <c r="J115" s="31">
        <f>IF(Resource!$R52=0,0,J243/$S243*Resource!$R52)</f>
        <v>0</v>
      </c>
      <c r="K115" s="31">
        <f>IF(Resource!$R52=0,0,K243/$S243*Resource!$R52)</f>
        <v>0</v>
      </c>
      <c r="L115" s="31">
        <f>IF(Resource!$R52=0,0,L243/$S243*Resource!$R52)</f>
        <v>0</v>
      </c>
      <c r="M115" s="31">
        <f>IF(Resource!$R52=0,0,M243/$S243*Resource!$R52)</f>
        <v>0</v>
      </c>
      <c r="N115" s="31">
        <f>IF(Resource!$R52=0,0,N243/$S243*Resource!$R52)</f>
        <v>0</v>
      </c>
      <c r="O115" s="31">
        <f>IF(Resource!$R52=0,0,O243/$S243*Resource!$R52)</f>
        <v>0</v>
      </c>
      <c r="P115" s="31">
        <f>IF(Resource!$R52=0,0,P243/$S243*Resource!$R52)</f>
        <v>0</v>
      </c>
      <c r="Q115" s="31">
        <f>IF(Resource!$R52=0,0,Q243/$S243*Resource!$R52)</f>
        <v>0</v>
      </c>
      <c r="R115" s="31"/>
      <c r="S115" s="11">
        <f t="shared" si="4"/>
        <v>0</v>
      </c>
      <c r="T115" s="2">
        <f>Resource!R52</f>
        <v>0</v>
      </c>
    </row>
    <row r="116" spans="1:20">
      <c r="A116" s="146">
        <v>35</v>
      </c>
      <c r="B116" s="31"/>
      <c r="C116" s="31"/>
      <c r="D116" s="31"/>
      <c r="E116" s="31">
        <f>IF(Resource!$R53=0,0,E244/$S244*Resource!$R53)</f>
        <v>0</v>
      </c>
      <c r="F116" s="31">
        <f>IF(Resource!$R53=0,0,F244/$S244*Resource!$R53)</f>
        <v>0</v>
      </c>
      <c r="G116" s="31">
        <f>IF(Resource!$R53=0,0,G244/$S244*Resource!$R53)</f>
        <v>0</v>
      </c>
      <c r="H116" s="31">
        <f>IF(Resource!$R53=0,0,H244/$S244*Resource!$R53)</f>
        <v>0</v>
      </c>
      <c r="I116" s="31">
        <f>IF(Resource!$R53=0,0,I244/$S244*Resource!$R53)</f>
        <v>0</v>
      </c>
      <c r="J116" s="31">
        <f>IF(Resource!$R53=0,0,J244/$S244*Resource!$R53)</f>
        <v>0</v>
      </c>
      <c r="K116" s="31">
        <f>IF(Resource!$R53=0,0,K244/$S244*Resource!$R53)</f>
        <v>0</v>
      </c>
      <c r="L116" s="31">
        <f>IF(Resource!$R53=0,0,L244/$S244*Resource!$R53)</f>
        <v>0</v>
      </c>
      <c r="M116" s="31">
        <f>IF(Resource!$R53=0,0,M244/$S244*Resource!$R53)</f>
        <v>0</v>
      </c>
      <c r="N116" s="31">
        <f>IF(Resource!$R53=0,0,N244/$S244*Resource!$R53)</f>
        <v>0</v>
      </c>
      <c r="O116" s="31">
        <f>IF(Resource!$R53=0,0,O244/$S244*Resource!$R53)</f>
        <v>0</v>
      </c>
      <c r="P116" s="31">
        <f>IF(Resource!$R53=0,0,P244/$S244*Resource!$R53)</f>
        <v>0</v>
      </c>
      <c r="Q116" s="31">
        <f>IF(Resource!$R53=0,0,Q244/$S244*Resource!$R53)</f>
        <v>0</v>
      </c>
      <c r="R116" s="31"/>
      <c r="S116" s="11">
        <f t="shared" si="4"/>
        <v>0</v>
      </c>
      <c r="T116" s="2">
        <f>Resource!R53</f>
        <v>0</v>
      </c>
    </row>
    <row r="117" spans="1:20">
      <c r="A117" s="146">
        <v>30</v>
      </c>
      <c r="B117" s="31"/>
      <c r="C117" s="31"/>
      <c r="D117" s="31"/>
      <c r="E117" s="31">
        <f>IF(Resource!$R54=0,0,E245/$S245*Resource!$R54)</f>
        <v>0</v>
      </c>
      <c r="F117" s="31">
        <f>IF(Resource!$R54=0,0,F245/$S245*Resource!$R54)</f>
        <v>0</v>
      </c>
      <c r="G117" s="31">
        <f>IF(Resource!$R54=0,0,G245/$S245*Resource!$R54)</f>
        <v>0</v>
      </c>
      <c r="H117" s="31">
        <f>IF(Resource!$R54=0,0,H245/$S245*Resource!$R54)</f>
        <v>0</v>
      </c>
      <c r="I117" s="31">
        <f>IF(Resource!$R54=0,0,I245/$S245*Resource!$R54)</f>
        <v>0</v>
      </c>
      <c r="J117" s="31">
        <f>IF(Resource!$R54=0,0,J245/$S245*Resource!$R54)</f>
        <v>0</v>
      </c>
      <c r="K117" s="31">
        <f>IF(Resource!$R54=0,0,K245/$S245*Resource!$R54)</f>
        <v>0</v>
      </c>
      <c r="L117" s="31">
        <f>IF(Resource!$R54=0,0,L245/$S245*Resource!$R54)</f>
        <v>0</v>
      </c>
      <c r="M117" s="31">
        <f>IF(Resource!$R54=0,0,M245/$S245*Resource!$R54)</f>
        <v>0</v>
      </c>
      <c r="N117" s="31">
        <f>IF(Resource!$R54=0,0,N245/$S245*Resource!$R54)</f>
        <v>0</v>
      </c>
      <c r="O117" s="31">
        <f>IF(Resource!$R54=0,0,O245/$S245*Resource!$R54)</f>
        <v>0</v>
      </c>
      <c r="P117" s="31">
        <f>IF(Resource!$R54=0,0,P245/$S245*Resource!$R54)</f>
        <v>0</v>
      </c>
      <c r="Q117" s="31">
        <f>IF(Resource!$R54=0,0,Q245/$S245*Resource!$R54)</f>
        <v>0</v>
      </c>
      <c r="R117" s="31"/>
      <c r="S117" s="11">
        <f t="shared" si="4"/>
        <v>0</v>
      </c>
      <c r="T117" s="2">
        <f>Resource!R54</f>
        <v>0</v>
      </c>
    </row>
    <row r="118" spans="1:20">
      <c r="A118" s="146">
        <v>25</v>
      </c>
      <c r="B118" s="31"/>
      <c r="C118" s="31"/>
      <c r="D118" s="31"/>
      <c r="E118" s="31">
        <f>IF(Resource!$R55=0,0,E246/$S246*Resource!$R55)</f>
        <v>0</v>
      </c>
      <c r="F118" s="31">
        <f>IF(Resource!$R55=0,0,F246/$S246*Resource!$R55)</f>
        <v>0</v>
      </c>
      <c r="G118" s="31">
        <f>IF(Resource!$R55=0,0,G246/$S246*Resource!$R55)</f>
        <v>0</v>
      </c>
      <c r="H118" s="31">
        <f>IF(Resource!$R55=0,0,H246/$S246*Resource!$R55)</f>
        <v>0</v>
      </c>
      <c r="I118" s="31">
        <f>IF(Resource!$R55=0,0,I246/$S246*Resource!$R55)</f>
        <v>0</v>
      </c>
      <c r="J118" s="31">
        <f>IF(Resource!$R55=0,0,J246/$S246*Resource!$R55)</f>
        <v>0</v>
      </c>
      <c r="K118" s="31">
        <f>IF(Resource!$R55=0,0,K246/$S246*Resource!$R55)</f>
        <v>0</v>
      </c>
      <c r="L118" s="31">
        <f>IF(Resource!$R55=0,0,L246/$S246*Resource!$R55)</f>
        <v>0</v>
      </c>
      <c r="M118" s="31">
        <f>IF(Resource!$R55=0,0,M246/$S246*Resource!$R55)</f>
        <v>0</v>
      </c>
      <c r="N118" s="31">
        <f>IF(Resource!$R55=0,0,N246/$S246*Resource!$R55)</f>
        <v>0</v>
      </c>
      <c r="O118" s="31">
        <f>IF(Resource!$R55=0,0,O246/$S246*Resource!$R55)</f>
        <v>0</v>
      </c>
      <c r="P118" s="31">
        <f>IF(Resource!$R55=0,0,P246/$S246*Resource!$R55)</f>
        <v>0</v>
      </c>
      <c r="Q118" s="31">
        <f>IF(Resource!$R55=0,0,Q246/$S246*Resource!$R55)</f>
        <v>0</v>
      </c>
      <c r="R118" s="31"/>
      <c r="S118" s="11">
        <f t="shared" si="4"/>
        <v>0</v>
      </c>
      <c r="T118" s="2">
        <f>Resource!R55</f>
        <v>0</v>
      </c>
    </row>
    <row r="119" spans="1:20">
      <c r="A119" s="146">
        <v>20</v>
      </c>
      <c r="B119" s="31"/>
      <c r="C119" s="31"/>
      <c r="D119" s="31"/>
      <c r="E119" s="31">
        <f>IF(Resource!$R56=0,0,E247/$S247*Resource!$R56)</f>
        <v>0</v>
      </c>
      <c r="F119" s="31">
        <f>IF(Resource!$R56=0,0,F247/$S247*Resource!$R56)</f>
        <v>0</v>
      </c>
      <c r="G119" s="31">
        <f>IF(Resource!$R56=0,0,G247/$S247*Resource!$R56)</f>
        <v>0</v>
      </c>
      <c r="H119" s="31">
        <f>IF(Resource!$R56=0,0,H247/$S247*Resource!$R56)</f>
        <v>0</v>
      </c>
      <c r="I119" s="31">
        <f>IF(Resource!$R56=0,0,I247/$S247*Resource!$R56)</f>
        <v>0</v>
      </c>
      <c r="J119" s="31">
        <f>IF(Resource!$R56=0,0,J247/$S247*Resource!$R56)</f>
        <v>0</v>
      </c>
      <c r="K119" s="31">
        <f>IF(Resource!$R56=0,0,K247/$S247*Resource!$R56)</f>
        <v>0</v>
      </c>
      <c r="L119" s="31">
        <f>IF(Resource!$R56=0,0,L247/$S247*Resource!$R56)</f>
        <v>0</v>
      </c>
      <c r="M119" s="31">
        <f>IF(Resource!$R56=0,0,M247/$S247*Resource!$R56)</f>
        <v>0</v>
      </c>
      <c r="N119" s="31">
        <f>IF(Resource!$R56=0,0,N247/$S247*Resource!$R56)</f>
        <v>0</v>
      </c>
      <c r="O119" s="31">
        <f>IF(Resource!$R56=0,0,O247/$S247*Resource!$R56)</f>
        <v>0</v>
      </c>
      <c r="P119" s="31">
        <f>IF(Resource!$R56=0,0,P247/$S247*Resource!$R56)</f>
        <v>0</v>
      </c>
      <c r="Q119" s="31">
        <f>IF(Resource!$R56=0,0,Q247/$S247*Resource!$R56)</f>
        <v>0</v>
      </c>
      <c r="R119" s="31"/>
      <c r="S119" s="11">
        <f t="shared" si="4"/>
        <v>0</v>
      </c>
      <c r="T119" s="2">
        <f>Resource!R56</f>
        <v>0</v>
      </c>
    </row>
    <row r="120" spans="1:20">
      <c r="A120" s="146">
        <v>15</v>
      </c>
      <c r="B120" s="31"/>
      <c r="C120" s="31"/>
      <c r="D120" s="31"/>
      <c r="E120" s="31">
        <f>IF(Resource!$R57=0,0,E248/$S248*Resource!$R57)</f>
        <v>0</v>
      </c>
      <c r="F120" s="31">
        <f>IF(Resource!$R57=0,0,F248/$S248*Resource!$R57)</f>
        <v>0</v>
      </c>
      <c r="G120" s="31">
        <f>IF(Resource!$R57=0,0,G248/$S248*Resource!$R57)</f>
        <v>0</v>
      </c>
      <c r="H120" s="31">
        <f>IF(Resource!$R57=0,0,H248/$S248*Resource!$R57)</f>
        <v>0</v>
      </c>
      <c r="I120" s="31">
        <f>IF(Resource!$R57=0,0,I248/$S248*Resource!$R57)</f>
        <v>0</v>
      </c>
      <c r="J120" s="31">
        <f>IF(Resource!$R57=0,0,J248/$S248*Resource!$R57)</f>
        <v>0</v>
      </c>
      <c r="K120" s="31">
        <f>IF(Resource!$R57=0,0,K248/$S248*Resource!$R57)</f>
        <v>0</v>
      </c>
      <c r="L120" s="31">
        <f>IF(Resource!$R57=0,0,L248/$S248*Resource!$R57)</f>
        <v>0</v>
      </c>
      <c r="M120" s="31">
        <f>IF(Resource!$R57=0,0,M248/$S248*Resource!$R57)</f>
        <v>0</v>
      </c>
      <c r="N120" s="31">
        <f>IF(Resource!$R57=0,0,N248/$S248*Resource!$R57)</f>
        <v>0</v>
      </c>
      <c r="O120" s="31">
        <f>IF(Resource!$R57=0,0,O248/$S248*Resource!$R57)</f>
        <v>0</v>
      </c>
      <c r="P120" s="31">
        <f>IF(Resource!$R57=0,0,P248/$S248*Resource!$R57)</f>
        <v>0</v>
      </c>
      <c r="Q120" s="31">
        <f>IF(Resource!$R57=0,0,Q248/$S248*Resource!$R57)</f>
        <v>0</v>
      </c>
      <c r="R120" s="31"/>
      <c r="S120" s="11">
        <f t="shared" si="4"/>
        <v>0</v>
      </c>
      <c r="T120" s="2">
        <f>Resource!R57</f>
        <v>0</v>
      </c>
    </row>
    <row r="121" spans="1:20">
      <c r="A121" s="146">
        <v>10</v>
      </c>
      <c r="B121" s="31"/>
      <c r="C121" s="31"/>
      <c r="D121" s="31"/>
      <c r="E121" s="31">
        <f>IF(Resource!$R58=0,0,E249/$S249*Resource!$R58)</f>
        <v>0</v>
      </c>
      <c r="F121" s="31">
        <f>IF(Resource!$R58=0,0,F249/$S249*Resource!$R58)</f>
        <v>0</v>
      </c>
      <c r="G121" s="31">
        <f>IF(Resource!$R58=0,0,G249/$S249*Resource!$R58)</f>
        <v>0</v>
      </c>
      <c r="H121" s="31">
        <f>IF(Resource!$R58=0,0,H249/$S249*Resource!$R58)</f>
        <v>0</v>
      </c>
      <c r="I121" s="31">
        <f>IF(Resource!$R58=0,0,I249/$S249*Resource!$R58)</f>
        <v>0</v>
      </c>
      <c r="J121" s="31">
        <f>IF(Resource!$R58=0,0,J249/$S249*Resource!$R58)</f>
        <v>0</v>
      </c>
      <c r="K121" s="31">
        <f>IF(Resource!$R58=0,0,K249/$S249*Resource!$R58)</f>
        <v>0</v>
      </c>
      <c r="L121" s="31">
        <f>IF(Resource!$R58=0,0,L249/$S249*Resource!$R58)</f>
        <v>0</v>
      </c>
      <c r="M121" s="31">
        <f>IF(Resource!$R58=0,0,M249/$S249*Resource!$R58)</f>
        <v>0</v>
      </c>
      <c r="N121" s="31">
        <f>IF(Resource!$R58=0,0,N249/$S249*Resource!$R58)</f>
        <v>0</v>
      </c>
      <c r="O121" s="31">
        <f>IF(Resource!$R58=0,0,O249/$S249*Resource!$R58)</f>
        <v>0</v>
      </c>
      <c r="P121" s="31">
        <f>IF(Resource!$R58=0,0,P249/$S249*Resource!$R58)</f>
        <v>0</v>
      </c>
      <c r="Q121" s="31">
        <f>IF(Resource!$R58=0,0,Q249/$S249*Resource!$R58)</f>
        <v>0</v>
      </c>
      <c r="R121" s="31"/>
      <c r="S121" s="11">
        <f t="shared" si="4"/>
        <v>0</v>
      </c>
      <c r="T121" s="2">
        <f>Resource!R58</f>
        <v>0</v>
      </c>
    </row>
    <row r="122" spans="1:20">
      <c r="A122" s="146">
        <v>5</v>
      </c>
      <c r="B122" s="31"/>
      <c r="C122" s="31"/>
      <c r="D122" s="31"/>
      <c r="E122" s="31">
        <f>IF(Resource!$R59=0,0,E250/$S250*Resource!$R59)</f>
        <v>0</v>
      </c>
      <c r="F122" s="31">
        <f>IF(Resource!$R59=0,0,F250/$S250*Resource!$R59)</f>
        <v>0</v>
      </c>
      <c r="G122" s="31">
        <f>IF(Resource!$R59=0,0,G250/$S250*Resource!$R59)</f>
        <v>0</v>
      </c>
      <c r="H122" s="31">
        <f>IF(Resource!$R59=0,0,H250/$S250*Resource!$R59)</f>
        <v>0</v>
      </c>
      <c r="I122" s="31">
        <f>IF(Resource!$R59=0,0,I250/$S250*Resource!$R59)</f>
        <v>0</v>
      </c>
      <c r="J122" s="31">
        <f>IF(Resource!$R59=0,0,J250/$S250*Resource!$R59)</f>
        <v>0</v>
      </c>
      <c r="K122" s="31">
        <f>IF(Resource!$R59=0,0,K250/$S250*Resource!$R59)</f>
        <v>0</v>
      </c>
      <c r="L122" s="31">
        <f>IF(Resource!$R59=0,0,L250/$S250*Resource!$R59)</f>
        <v>0</v>
      </c>
      <c r="M122" s="31">
        <f>IF(Resource!$R59=0,0,M250/$S250*Resource!$R59)</f>
        <v>0</v>
      </c>
      <c r="N122" s="31">
        <f>IF(Resource!$R59=0,0,N250/$S250*Resource!$R59)</f>
        <v>0</v>
      </c>
      <c r="O122" s="31">
        <f>IF(Resource!$R59=0,0,O250/$S250*Resource!$R59)</f>
        <v>0</v>
      </c>
      <c r="P122" s="31">
        <f>IF(Resource!$R59=0,0,P250/$S250*Resource!$R59)</f>
        <v>0</v>
      </c>
      <c r="Q122" s="31">
        <f>IF(Resource!$R59=0,0,Q250/$S250*Resource!$R59)</f>
        <v>0</v>
      </c>
      <c r="R122" s="31"/>
      <c r="S122" s="11">
        <f t="shared" si="4"/>
        <v>0</v>
      </c>
      <c r="T122" s="2">
        <f>Resource!R59</f>
        <v>0</v>
      </c>
    </row>
    <row r="123" spans="1:20">
      <c r="A123" s="146">
        <v>0</v>
      </c>
      <c r="B123" s="31"/>
      <c r="C123" s="31"/>
      <c r="D123" s="31"/>
      <c r="E123" s="31">
        <f>IF(Resource!$R60=0,0,E251/$S251*Resource!$R60)</f>
        <v>0</v>
      </c>
      <c r="F123" s="31">
        <f>IF(Resource!$R60=0,0,F251/$S251*Resource!$R60)</f>
        <v>0</v>
      </c>
      <c r="G123" s="31">
        <f>IF(Resource!$R60=0,0,G251/$S251*Resource!$R60)</f>
        <v>0</v>
      </c>
      <c r="H123" s="31">
        <f>IF(Resource!$R60=0,0,H251/$S251*Resource!$R60)</f>
        <v>0</v>
      </c>
      <c r="I123" s="31">
        <f>IF(Resource!$R60=0,0,I251/$S251*Resource!$R60)</f>
        <v>0</v>
      </c>
      <c r="J123" s="31">
        <f>IF(Resource!$R60=0,0,J251/$S251*Resource!$R60)</f>
        <v>0</v>
      </c>
      <c r="K123" s="31">
        <f>IF(Resource!$R60=0,0,K251/$S251*Resource!$R60)</f>
        <v>0</v>
      </c>
      <c r="L123" s="31">
        <f>IF(Resource!$R60=0,0,L251/$S251*Resource!$R60)</f>
        <v>0</v>
      </c>
      <c r="M123" s="31">
        <f>IF(Resource!$R60=0,0,M251/$S251*Resource!$R60)</f>
        <v>0</v>
      </c>
      <c r="N123" s="31">
        <f>IF(Resource!$R60=0,0,N251/$S251*Resource!$R60)</f>
        <v>0</v>
      </c>
      <c r="O123" s="31">
        <f>IF(Resource!$R60=0,0,O251/$S251*Resource!$R60)</f>
        <v>0</v>
      </c>
      <c r="P123" s="31">
        <f>IF(Resource!$R60=0,0,P251/$S251*Resource!$R60)</f>
        <v>0</v>
      </c>
      <c r="Q123" s="31">
        <f>IF(Resource!$R60=0,0,Q251/$S251*Resource!$R60)</f>
        <v>0</v>
      </c>
      <c r="R123" s="31"/>
      <c r="S123" s="11">
        <f t="shared" si="4"/>
        <v>0</v>
      </c>
      <c r="T123" s="2">
        <f>Resource!R60</f>
        <v>0</v>
      </c>
    </row>
    <row r="124" spans="1:20">
      <c r="A124" s="39" t="s">
        <v>5</v>
      </c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11"/>
    </row>
    <row r="125" spans="1:20">
      <c r="A125" s="5" t="s">
        <v>295</v>
      </c>
      <c r="B125" s="91">
        <f>SUM(B73:B123)</f>
        <v>0</v>
      </c>
      <c r="C125" s="91">
        <f t="shared" ref="C125:Q125" si="5">SUM(C73:C123)</f>
        <v>0</v>
      </c>
      <c r="D125" s="91">
        <f t="shared" si="5"/>
        <v>47000</v>
      </c>
      <c r="E125" s="91">
        <f t="shared" si="5"/>
        <v>60000</v>
      </c>
      <c r="F125" s="91">
        <f t="shared" si="5"/>
        <v>0</v>
      </c>
      <c r="G125" s="91">
        <f t="shared" si="5"/>
        <v>23213.821454983969</v>
      </c>
      <c r="H125" s="91">
        <f t="shared" si="5"/>
        <v>22488.571901219162</v>
      </c>
      <c r="I125" s="91">
        <f t="shared" si="5"/>
        <v>9297.6066437968711</v>
      </c>
      <c r="J125" s="91">
        <f t="shared" si="5"/>
        <v>0</v>
      </c>
      <c r="K125" s="91">
        <f t="shared" si="5"/>
        <v>0</v>
      </c>
      <c r="L125" s="91">
        <f t="shared" si="5"/>
        <v>0</v>
      </c>
      <c r="M125" s="91">
        <f t="shared" si="5"/>
        <v>0</v>
      </c>
      <c r="N125" s="91">
        <f t="shared" si="5"/>
        <v>0</v>
      </c>
      <c r="O125" s="91">
        <f t="shared" si="5"/>
        <v>0</v>
      </c>
      <c r="P125" s="91">
        <f t="shared" si="5"/>
        <v>0</v>
      </c>
      <c r="Q125" s="91">
        <f t="shared" si="5"/>
        <v>0</v>
      </c>
      <c r="R125" s="91"/>
      <c r="S125" s="92">
        <f>SUM(B125:R125)</f>
        <v>162000</v>
      </c>
      <c r="T125" s="2">
        <f>Resource!R63</f>
        <v>162000</v>
      </c>
    </row>
    <row r="126" spans="1:20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8"/>
    </row>
    <row r="129" spans="1:20">
      <c r="A129" s="13" t="s">
        <v>0</v>
      </c>
      <c r="B129" s="77"/>
      <c r="C129" s="77"/>
      <c r="D129" s="7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"/>
    </row>
    <row r="130" spans="1:20">
      <c r="A130" s="16" t="str">
        <f>Title!$F$10</f>
        <v>ARTHUR RIVER MAGNESITE PROJECT</v>
      </c>
      <c r="B130" s="78"/>
      <c r="C130" s="78"/>
      <c r="D130" s="78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</row>
    <row r="131" spans="1:20">
      <c r="A131" s="16" t="str">
        <f>Title!$F$12</f>
        <v>ORDER OF MAGNITUDE COST STUDY: CALCINE PRODUCTION ONLY</v>
      </c>
      <c r="B131" s="78"/>
      <c r="C131" s="78"/>
      <c r="D131" s="78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</row>
    <row r="132" spans="1:20">
      <c r="A132" s="19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 t="str">
        <f>Title!$F$19</f>
        <v>3 October 2011</v>
      </c>
      <c r="S132" s="18"/>
    </row>
    <row r="133" spans="1:20">
      <c r="A133" s="20" t="s">
        <v>293</v>
      </c>
      <c r="B133" s="79"/>
      <c r="C133" s="79"/>
      <c r="D133" s="79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</row>
    <row r="134" spans="1:20">
      <c r="A134" s="46"/>
      <c r="B134" s="41" t="s">
        <v>26</v>
      </c>
      <c r="C134" s="41" t="s">
        <v>26</v>
      </c>
      <c r="D134" s="41" t="s">
        <v>26</v>
      </c>
      <c r="E134" s="41" t="s">
        <v>26</v>
      </c>
      <c r="F134" s="41" t="s">
        <v>26</v>
      </c>
      <c r="G134" s="41" t="s">
        <v>26</v>
      </c>
      <c r="H134" s="41" t="s">
        <v>26</v>
      </c>
      <c r="I134" s="41" t="s">
        <v>26</v>
      </c>
      <c r="J134" s="41" t="s">
        <v>26</v>
      </c>
      <c r="K134" s="41" t="s">
        <v>26</v>
      </c>
      <c r="L134" s="41" t="s">
        <v>26</v>
      </c>
      <c r="M134" s="41" t="s">
        <v>26</v>
      </c>
      <c r="N134" s="41" t="s">
        <v>26</v>
      </c>
      <c r="O134" s="41" t="s">
        <v>26</v>
      </c>
      <c r="P134" s="41" t="s">
        <v>26</v>
      </c>
      <c r="Q134" s="41" t="s">
        <v>26</v>
      </c>
      <c r="R134" s="41"/>
      <c r="S134" s="42" t="s">
        <v>5</v>
      </c>
      <c r="T134" s="174" t="s">
        <v>32</v>
      </c>
    </row>
    <row r="135" spans="1:20">
      <c r="A135" s="8"/>
      <c r="B135" s="43">
        <v>-3</v>
      </c>
      <c r="C135" s="43">
        <v>-2</v>
      </c>
      <c r="D135" s="43">
        <v>-1</v>
      </c>
      <c r="E135" s="43">
        <v>1</v>
      </c>
      <c r="F135" s="43">
        <v>2</v>
      </c>
      <c r="G135" s="43">
        <v>3</v>
      </c>
      <c r="H135" s="43">
        <v>4</v>
      </c>
      <c r="I135" s="43">
        <v>5</v>
      </c>
      <c r="J135" s="43">
        <v>6</v>
      </c>
      <c r="K135" s="43">
        <v>7</v>
      </c>
      <c r="L135" s="43">
        <v>8</v>
      </c>
      <c r="M135" s="43">
        <v>9</v>
      </c>
      <c r="N135" s="43">
        <v>10</v>
      </c>
      <c r="O135" s="43">
        <v>11</v>
      </c>
      <c r="P135" s="43">
        <v>12</v>
      </c>
      <c r="Q135" s="43">
        <v>13</v>
      </c>
      <c r="R135" s="43"/>
      <c r="S135" s="47"/>
    </row>
    <row r="136" spans="1:20">
      <c r="A136" s="39" t="s">
        <v>178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6"/>
    </row>
    <row r="137" spans="1:20">
      <c r="A137" s="139">
        <v>195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11">
        <f t="shared" ref="S137:S154" si="6">SUM(B137:R137)</f>
        <v>0</v>
      </c>
      <c r="T137" s="2">
        <f>Resource!T10</f>
        <v>0</v>
      </c>
    </row>
    <row r="138" spans="1:20">
      <c r="A138" s="141">
        <v>190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11">
        <f t="shared" si="6"/>
        <v>0</v>
      </c>
      <c r="T138" s="2">
        <f>Resource!T11</f>
        <v>0</v>
      </c>
    </row>
    <row r="139" spans="1:20">
      <c r="A139" s="141">
        <v>185</v>
      </c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11">
        <f t="shared" si="6"/>
        <v>0</v>
      </c>
      <c r="T139" s="2">
        <f>Resource!T12</f>
        <v>0</v>
      </c>
    </row>
    <row r="140" spans="1:20">
      <c r="A140" s="141">
        <v>180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11">
        <f t="shared" si="6"/>
        <v>0</v>
      </c>
      <c r="T140" s="2">
        <f>Resource!T13</f>
        <v>0</v>
      </c>
    </row>
    <row r="141" spans="1:20">
      <c r="A141" s="141">
        <v>175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11">
        <f t="shared" si="6"/>
        <v>0</v>
      </c>
      <c r="T141" s="2">
        <f>Resource!T14</f>
        <v>0</v>
      </c>
    </row>
    <row r="142" spans="1:20">
      <c r="A142" s="141">
        <v>170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11">
        <f t="shared" si="6"/>
        <v>0</v>
      </c>
      <c r="T142" s="2">
        <f>Resource!T15</f>
        <v>0</v>
      </c>
    </row>
    <row r="143" spans="1:20">
      <c r="A143" s="146">
        <v>165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11">
        <f t="shared" si="6"/>
        <v>0</v>
      </c>
      <c r="T143" s="2">
        <f>Resource!T16</f>
        <v>0</v>
      </c>
    </row>
    <row r="144" spans="1:20">
      <c r="A144" s="146">
        <v>160</v>
      </c>
      <c r="B144" s="31"/>
      <c r="C144" s="31"/>
      <c r="D144" s="31">
        <f>$T144-SUM($B144:C144)</f>
        <v>9000</v>
      </c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11">
        <f t="shared" si="6"/>
        <v>9000</v>
      </c>
      <c r="T144" s="2">
        <f>Resource!T17</f>
        <v>9000</v>
      </c>
    </row>
    <row r="145" spans="1:20">
      <c r="A145" s="146">
        <v>155</v>
      </c>
      <c r="B145" s="31"/>
      <c r="C145" s="31"/>
      <c r="D145" s="31"/>
      <c r="E145" s="31">
        <f>IF(Resource!$T18=0,0,E209/$S209*Resource!$T18)</f>
        <v>31500</v>
      </c>
      <c r="F145" s="31">
        <f>IF(Resource!$T18=0,0,F209/$S209*Resource!$T18)</f>
        <v>0</v>
      </c>
      <c r="G145" s="31">
        <f>IF(Resource!$T18=0,0,G209/$S209*Resource!$T18)</f>
        <v>0</v>
      </c>
      <c r="H145" s="31">
        <f>IF(Resource!$T18=0,0,H209/$S209*Resource!$T18)</f>
        <v>0</v>
      </c>
      <c r="I145" s="31">
        <f>IF(Resource!$T18=0,0,I209/$S209*Resource!$T18)</f>
        <v>0</v>
      </c>
      <c r="J145" s="31">
        <f>IF(Resource!$T18=0,0,J209/$S209*Resource!$T18)</f>
        <v>0</v>
      </c>
      <c r="K145" s="31">
        <f>IF(Resource!$T18=0,0,K209/$S209*Resource!$T18)</f>
        <v>0</v>
      </c>
      <c r="L145" s="31">
        <f>IF(Resource!$T18=0,0,L209/$S209*Resource!$T18)</f>
        <v>0</v>
      </c>
      <c r="M145" s="31">
        <f>IF(Resource!$T18=0,0,M209/$S209*Resource!$T18)</f>
        <v>0</v>
      </c>
      <c r="N145" s="31">
        <f>IF(Resource!$T18=0,0,N209/$S209*Resource!$T18)</f>
        <v>0</v>
      </c>
      <c r="O145" s="31">
        <f>IF(Resource!$T18=0,0,O209/$S209*Resource!$T18)</f>
        <v>0</v>
      </c>
      <c r="P145" s="31">
        <f>IF(Resource!$T18=0,0,P209/$S209*Resource!$T18)</f>
        <v>0</v>
      </c>
      <c r="Q145" s="31">
        <f>IF(Resource!$T18=0,0,Q209/$S209*Resource!$T18)</f>
        <v>0</v>
      </c>
      <c r="R145" s="31"/>
      <c r="S145" s="11">
        <f t="shared" si="6"/>
        <v>31500</v>
      </c>
      <c r="T145" s="2">
        <f>Resource!T18</f>
        <v>31500</v>
      </c>
    </row>
    <row r="146" spans="1:20">
      <c r="A146" s="146">
        <v>150</v>
      </c>
      <c r="B146" s="31"/>
      <c r="C146" s="31"/>
      <c r="D146" s="31"/>
      <c r="E146" s="31">
        <f>IF(Resource!$T19=0,0,E210/$S210*Resource!$T19)</f>
        <v>42000</v>
      </c>
      <c r="F146" s="31">
        <f>IF(Resource!$T19=0,0,F210/$S210*Resource!$T19)</f>
        <v>0</v>
      </c>
      <c r="G146" s="31">
        <f>IF(Resource!$T19=0,0,G210/$S210*Resource!$T19)</f>
        <v>0</v>
      </c>
      <c r="H146" s="31">
        <f>IF(Resource!$T19=0,0,H210/$S210*Resource!$T19)</f>
        <v>0</v>
      </c>
      <c r="I146" s="31">
        <f>IF(Resource!$T19=0,0,I210/$S210*Resource!$T19)</f>
        <v>0</v>
      </c>
      <c r="J146" s="31">
        <f>IF(Resource!$T19=0,0,J210/$S210*Resource!$T19)</f>
        <v>0</v>
      </c>
      <c r="K146" s="31">
        <f>IF(Resource!$T19=0,0,K210/$S210*Resource!$T19)</f>
        <v>0</v>
      </c>
      <c r="L146" s="31">
        <f>IF(Resource!$T19=0,0,L210/$S210*Resource!$T19)</f>
        <v>0</v>
      </c>
      <c r="M146" s="31">
        <f>IF(Resource!$T19=0,0,M210/$S210*Resource!$T19)</f>
        <v>0</v>
      </c>
      <c r="N146" s="31">
        <f>IF(Resource!$T19=0,0,N210/$S210*Resource!$T19)</f>
        <v>0</v>
      </c>
      <c r="O146" s="31">
        <f>IF(Resource!$T19=0,0,O210/$S210*Resource!$T19)</f>
        <v>0</v>
      </c>
      <c r="P146" s="31">
        <f>IF(Resource!$T19=0,0,P210/$S210*Resource!$T19)</f>
        <v>0</v>
      </c>
      <c r="Q146" s="31">
        <f>IF(Resource!$T19=0,0,Q210/$S210*Resource!$T19)</f>
        <v>0</v>
      </c>
      <c r="R146" s="31"/>
      <c r="S146" s="11">
        <f t="shared" si="6"/>
        <v>42000</v>
      </c>
      <c r="T146" s="2">
        <f>Resource!T19</f>
        <v>42000</v>
      </c>
    </row>
    <row r="147" spans="1:20">
      <c r="A147" s="146">
        <v>145</v>
      </c>
      <c r="B147" s="31"/>
      <c r="C147" s="31"/>
      <c r="D147" s="31"/>
      <c r="E147" s="31">
        <f>IF(Resource!$T20=0,0,E211/$S211*Resource!$T20)</f>
        <v>15037.345377623764</v>
      </c>
      <c r="F147" s="31">
        <f>IF(Resource!$T20=0,0,F211/$S211*Resource!$T20)</f>
        <v>10962.654622376236</v>
      </c>
      <c r="G147" s="31">
        <f>IF(Resource!$T20=0,0,G211/$S211*Resource!$T20)</f>
        <v>0</v>
      </c>
      <c r="H147" s="31">
        <f>IF(Resource!$T20=0,0,H211/$S211*Resource!$T20)</f>
        <v>0</v>
      </c>
      <c r="I147" s="31">
        <f>IF(Resource!$T20=0,0,I211/$S211*Resource!$T20)</f>
        <v>0</v>
      </c>
      <c r="J147" s="31">
        <f>IF(Resource!$T20=0,0,J211/$S211*Resource!$T20)</f>
        <v>0</v>
      </c>
      <c r="K147" s="31">
        <f>IF(Resource!$T20=0,0,K211/$S211*Resource!$T20)</f>
        <v>0</v>
      </c>
      <c r="L147" s="31">
        <f>IF(Resource!$T20=0,0,L211/$S211*Resource!$T20)</f>
        <v>0</v>
      </c>
      <c r="M147" s="31">
        <f>IF(Resource!$T20=0,0,M211/$S211*Resource!$T20)</f>
        <v>0</v>
      </c>
      <c r="N147" s="31">
        <f>IF(Resource!$T20=0,0,N211/$S211*Resource!$T20)</f>
        <v>0</v>
      </c>
      <c r="O147" s="31">
        <f>IF(Resource!$T20=0,0,O211/$S211*Resource!$T20)</f>
        <v>0</v>
      </c>
      <c r="P147" s="31">
        <f>IF(Resource!$T20=0,0,P211/$S211*Resource!$T20)</f>
        <v>0</v>
      </c>
      <c r="Q147" s="31">
        <f>IF(Resource!$T20=0,0,Q211/$S211*Resource!$T20)</f>
        <v>0</v>
      </c>
      <c r="R147" s="31"/>
      <c r="S147" s="11">
        <f t="shared" si="6"/>
        <v>26000</v>
      </c>
      <c r="T147" s="2">
        <f>Resource!T20</f>
        <v>26000</v>
      </c>
    </row>
    <row r="148" spans="1:20">
      <c r="A148" s="146">
        <v>140</v>
      </c>
      <c r="B148" s="31"/>
      <c r="C148" s="31"/>
      <c r="D148" s="31"/>
      <c r="E148" s="31">
        <f>IF(Resource!$T21=0,0,E212/$S212*Resource!$T21)</f>
        <v>0</v>
      </c>
      <c r="F148" s="31">
        <f>IF(Resource!$T21=0,0,F212/$S212*Resource!$T21)</f>
        <v>18000</v>
      </c>
      <c r="G148" s="31">
        <f>IF(Resource!$T21=0,0,G212/$S212*Resource!$T21)</f>
        <v>0</v>
      </c>
      <c r="H148" s="31">
        <f>IF(Resource!$T21=0,0,H212/$S212*Resource!$T21)</f>
        <v>0</v>
      </c>
      <c r="I148" s="31">
        <f>IF(Resource!$T21=0,0,I212/$S212*Resource!$T21)</f>
        <v>0</v>
      </c>
      <c r="J148" s="31">
        <f>IF(Resource!$T21=0,0,J212/$S212*Resource!$T21)</f>
        <v>0</v>
      </c>
      <c r="K148" s="31">
        <f>IF(Resource!$T21=0,0,K212/$S212*Resource!$T21)</f>
        <v>0</v>
      </c>
      <c r="L148" s="31">
        <f>IF(Resource!$T21=0,0,L212/$S212*Resource!$T21)</f>
        <v>0</v>
      </c>
      <c r="M148" s="31">
        <f>IF(Resource!$T21=0,0,M212/$S212*Resource!$T21)</f>
        <v>0</v>
      </c>
      <c r="N148" s="31">
        <f>IF(Resource!$T21=0,0,N212/$S212*Resource!$T21)</f>
        <v>0</v>
      </c>
      <c r="O148" s="31">
        <f>IF(Resource!$T21=0,0,O212/$S212*Resource!$T21)</f>
        <v>0</v>
      </c>
      <c r="P148" s="31">
        <f>IF(Resource!$T21=0,0,P212/$S212*Resource!$T21)</f>
        <v>0</v>
      </c>
      <c r="Q148" s="31">
        <f>IF(Resource!$T21=0,0,Q212/$S212*Resource!$T21)</f>
        <v>0</v>
      </c>
      <c r="R148" s="31"/>
      <c r="S148" s="11">
        <f t="shared" si="6"/>
        <v>18000</v>
      </c>
      <c r="T148" s="2">
        <f>Resource!T21</f>
        <v>18000</v>
      </c>
    </row>
    <row r="149" spans="1:20">
      <c r="A149" s="146">
        <v>135</v>
      </c>
      <c r="B149" s="31"/>
      <c r="C149" s="31"/>
      <c r="D149" s="31"/>
      <c r="E149" s="31">
        <f>IF(Resource!$T22=0,0,E213/$S213*Resource!$T22)</f>
        <v>0</v>
      </c>
      <c r="F149" s="31">
        <f>IF(Resource!$T22=0,0,F213/$S213*Resource!$T22)</f>
        <v>11000</v>
      </c>
      <c r="G149" s="31">
        <f>IF(Resource!$T22=0,0,G213/$S213*Resource!$T22)</f>
        <v>0</v>
      </c>
      <c r="H149" s="31">
        <f>IF(Resource!$T22=0,0,H213/$S213*Resource!$T22)</f>
        <v>0</v>
      </c>
      <c r="I149" s="31">
        <f>IF(Resource!$T22=0,0,I213/$S213*Resource!$T22)</f>
        <v>0</v>
      </c>
      <c r="J149" s="31">
        <f>IF(Resource!$T22=0,0,J213/$S213*Resource!$T22)</f>
        <v>0</v>
      </c>
      <c r="K149" s="31">
        <f>IF(Resource!$T22=0,0,K213/$S213*Resource!$T22)</f>
        <v>0</v>
      </c>
      <c r="L149" s="31">
        <f>IF(Resource!$T22=0,0,L213/$S213*Resource!$T22)</f>
        <v>0</v>
      </c>
      <c r="M149" s="31">
        <f>IF(Resource!$T22=0,0,M213/$S213*Resource!$T22)</f>
        <v>0</v>
      </c>
      <c r="N149" s="31">
        <f>IF(Resource!$T22=0,0,N213/$S213*Resource!$T22)</f>
        <v>0</v>
      </c>
      <c r="O149" s="31">
        <f>IF(Resource!$T22=0,0,O213/$S213*Resource!$T22)</f>
        <v>0</v>
      </c>
      <c r="P149" s="31">
        <f>IF(Resource!$T22=0,0,P213/$S213*Resource!$T22)</f>
        <v>0</v>
      </c>
      <c r="Q149" s="31">
        <f>IF(Resource!$T22=0,0,Q213/$S213*Resource!$T22)</f>
        <v>0</v>
      </c>
      <c r="R149" s="31"/>
      <c r="S149" s="11">
        <f t="shared" si="6"/>
        <v>11000</v>
      </c>
      <c r="T149" s="2">
        <f>Resource!T22</f>
        <v>11000</v>
      </c>
    </row>
    <row r="150" spans="1:20">
      <c r="A150" s="146">
        <v>130</v>
      </c>
      <c r="B150" s="31"/>
      <c r="C150" s="31"/>
      <c r="D150" s="31"/>
      <c r="E150" s="31">
        <f>IF(Resource!$T23=0,0,E214/$S214*Resource!$T23)</f>
        <v>0</v>
      </c>
      <c r="F150" s="31">
        <f>IF(Resource!$T23=0,0,F214/$S214*Resource!$T23)</f>
        <v>853.27931208162886</v>
      </c>
      <c r="G150" s="31">
        <f>IF(Resource!$T23=0,0,G214/$S214*Resource!$T23)</f>
        <v>4146.7206879183705</v>
      </c>
      <c r="H150" s="31">
        <f>IF(Resource!$T23=0,0,H214/$S214*Resource!$T23)</f>
        <v>0</v>
      </c>
      <c r="I150" s="31">
        <f>IF(Resource!$T23=0,0,I214/$S214*Resource!$T23)</f>
        <v>0</v>
      </c>
      <c r="J150" s="31">
        <f>IF(Resource!$T23=0,0,J214/$S214*Resource!$T23)</f>
        <v>0</v>
      </c>
      <c r="K150" s="31">
        <f>IF(Resource!$T23=0,0,K214/$S214*Resource!$T23)</f>
        <v>0</v>
      </c>
      <c r="L150" s="31">
        <f>IF(Resource!$T23=0,0,L214/$S214*Resource!$T23)</f>
        <v>0</v>
      </c>
      <c r="M150" s="31">
        <f>IF(Resource!$T23=0,0,M214/$S214*Resource!$T23)</f>
        <v>0</v>
      </c>
      <c r="N150" s="31">
        <f>IF(Resource!$T23=0,0,N214/$S214*Resource!$T23)</f>
        <v>0</v>
      </c>
      <c r="O150" s="31">
        <f>IF(Resource!$T23=0,0,O214/$S214*Resource!$T23)</f>
        <v>0</v>
      </c>
      <c r="P150" s="31">
        <f>IF(Resource!$T23=0,0,P214/$S214*Resource!$T23)</f>
        <v>0</v>
      </c>
      <c r="Q150" s="31">
        <f>IF(Resource!$T23=0,0,Q214/$S214*Resource!$T23)</f>
        <v>0</v>
      </c>
      <c r="R150" s="31"/>
      <c r="S150" s="11">
        <f t="shared" si="6"/>
        <v>4999.9999999999991</v>
      </c>
      <c r="T150" s="2">
        <f>Resource!T23</f>
        <v>5000</v>
      </c>
    </row>
    <row r="151" spans="1:20">
      <c r="A151" s="146">
        <v>125</v>
      </c>
      <c r="B151" s="31"/>
      <c r="C151" s="31"/>
      <c r="D151" s="31"/>
      <c r="E151" s="31">
        <f>IF(Resource!$T24=0,0,E215/$S215*Resource!$T24)</f>
        <v>0</v>
      </c>
      <c r="F151" s="31">
        <f>IF(Resource!$T24=0,0,F215/$S215*Resource!$T24)</f>
        <v>0</v>
      </c>
      <c r="G151" s="31">
        <f>IF(Resource!$T24=0,0,G215/$S215*Resource!$T24)</f>
        <v>0</v>
      </c>
      <c r="H151" s="31">
        <f>IF(Resource!$T24=0,0,H215/$S215*Resource!$T24)</f>
        <v>0</v>
      </c>
      <c r="I151" s="31">
        <f>IF(Resource!$T24=0,0,I215/$S215*Resource!$T24)</f>
        <v>0</v>
      </c>
      <c r="J151" s="31">
        <f>IF(Resource!$T24=0,0,J215/$S215*Resource!$T24)</f>
        <v>0</v>
      </c>
      <c r="K151" s="31">
        <f>IF(Resource!$T24=0,0,K215/$S215*Resource!$T24)</f>
        <v>0</v>
      </c>
      <c r="L151" s="31">
        <f>IF(Resource!$T24=0,0,L215/$S215*Resource!$T24)</f>
        <v>0</v>
      </c>
      <c r="M151" s="31">
        <f>IF(Resource!$T24=0,0,M215/$S215*Resource!$T24)</f>
        <v>0</v>
      </c>
      <c r="N151" s="31">
        <f>IF(Resource!$T24=0,0,N215/$S215*Resource!$T24)</f>
        <v>0</v>
      </c>
      <c r="O151" s="31">
        <f>IF(Resource!$T24=0,0,O215/$S215*Resource!$T24)</f>
        <v>0</v>
      </c>
      <c r="P151" s="31">
        <f>IF(Resource!$T24=0,0,P215/$S215*Resource!$T24)</f>
        <v>0</v>
      </c>
      <c r="Q151" s="31">
        <f>IF(Resource!$T24=0,0,Q215/$S215*Resource!$T24)</f>
        <v>0</v>
      </c>
      <c r="R151" s="31"/>
      <c r="S151" s="11">
        <f t="shared" si="6"/>
        <v>0</v>
      </c>
      <c r="T151" s="2">
        <f>Resource!T24</f>
        <v>0</v>
      </c>
    </row>
    <row r="152" spans="1:20">
      <c r="A152" s="146">
        <v>120</v>
      </c>
      <c r="B152" s="31"/>
      <c r="C152" s="31"/>
      <c r="D152" s="31"/>
      <c r="E152" s="31">
        <f>IF(Resource!$T25=0,0,E216/$S216*Resource!$T25)</f>
        <v>0</v>
      </c>
      <c r="F152" s="31">
        <f>IF(Resource!$T25=0,0,F216/$S216*Resource!$T25)</f>
        <v>0</v>
      </c>
      <c r="G152" s="31">
        <f>IF(Resource!$T25=0,0,G216/$S216*Resource!$T25)</f>
        <v>0</v>
      </c>
      <c r="H152" s="31">
        <f>IF(Resource!$T25=0,0,H216/$S216*Resource!$T25)</f>
        <v>0</v>
      </c>
      <c r="I152" s="31">
        <f>IF(Resource!$T25=0,0,I216/$S216*Resource!$T25)</f>
        <v>0</v>
      </c>
      <c r="J152" s="31">
        <f>IF(Resource!$T25=0,0,J216/$S216*Resource!$T25)</f>
        <v>0</v>
      </c>
      <c r="K152" s="31">
        <f>IF(Resource!$T25=0,0,K216/$S216*Resource!$T25)</f>
        <v>0</v>
      </c>
      <c r="L152" s="31">
        <f>IF(Resource!$T25=0,0,L216/$S216*Resource!$T25)</f>
        <v>0</v>
      </c>
      <c r="M152" s="31">
        <f>IF(Resource!$T25=0,0,M216/$S216*Resource!$T25)</f>
        <v>0</v>
      </c>
      <c r="N152" s="31">
        <f>IF(Resource!$T25=0,0,N216/$S216*Resource!$T25)</f>
        <v>0</v>
      </c>
      <c r="O152" s="31">
        <f>IF(Resource!$T25=0,0,O216/$S216*Resource!$T25)</f>
        <v>0</v>
      </c>
      <c r="P152" s="31">
        <f>IF(Resource!$T25=0,0,P216/$S216*Resource!$T25)</f>
        <v>0</v>
      </c>
      <c r="Q152" s="31">
        <f>IF(Resource!$T25=0,0,Q216/$S216*Resource!$T25)</f>
        <v>0</v>
      </c>
      <c r="R152" s="31"/>
      <c r="S152" s="11">
        <f t="shared" si="6"/>
        <v>0</v>
      </c>
      <c r="T152" s="2">
        <f>Resource!T25</f>
        <v>0</v>
      </c>
    </row>
    <row r="153" spans="1:20">
      <c r="A153" s="146">
        <v>115</v>
      </c>
      <c r="B153" s="31"/>
      <c r="C153" s="31"/>
      <c r="D153" s="31"/>
      <c r="E153" s="31">
        <f>IF(Resource!$T26=0,0,E217/$S217*Resource!$T26)</f>
        <v>0</v>
      </c>
      <c r="F153" s="31">
        <f>IF(Resource!$T26=0,0,F217/$S217*Resource!$T26)</f>
        <v>0</v>
      </c>
      <c r="G153" s="31">
        <f>IF(Resource!$T26=0,0,G217/$S217*Resource!$T26)</f>
        <v>0</v>
      </c>
      <c r="H153" s="31">
        <f>IF(Resource!$T26=0,0,H217/$S217*Resource!$T26)</f>
        <v>0</v>
      </c>
      <c r="I153" s="31">
        <f>IF(Resource!$T26=0,0,I217/$S217*Resource!$T26)</f>
        <v>0</v>
      </c>
      <c r="J153" s="31">
        <f>IF(Resource!$T26=0,0,J217/$S217*Resource!$T26)</f>
        <v>0</v>
      </c>
      <c r="K153" s="31">
        <f>IF(Resource!$T26=0,0,K217/$S217*Resource!$T26)</f>
        <v>0</v>
      </c>
      <c r="L153" s="31">
        <f>IF(Resource!$T26=0,0,L217/$S217*Resource!$T26)</f>
        <v>0</v>
      </c>
      <c r="M153" s="31">
        <f>IF(Resource!$T26=0,0,M217/$S217*Resource!$T26)</f>
        <v>0</v>
      </c>
      <c r="N153" s="31">
        <f>IF(Resource!$T26=0,0,N217/$S217*Resource!$T26)</f>
        <v>0</v>
      </c>
      <c r="O153" s="31">
        <f>IF(Resource!$T26=0,0,O217/$S217*Resource!$T26)</f>
        <v>0</v>
      </c>
      <c r="P153" s="31">
        <f>IF(Resource!$T26=0,0,P217/$S217*Resource!$T26)</f>
        <v>0</v>
      </c>
      <c r="Q153" s="31">
        <f>IF(Resource!$T26=0,0,Q217/$S217*Resource!$T26)</f>
        <v>0</v>
      </c>
      <c r="R153" s="31"/>
      <c r="S153" s="11">
        <f t="shared" si="6"/>
        <v>0</v>
      </c>
      <c r="T153" s="2">
        <f>Resource!T26</f>
        <v>0</v>
      </c>
    </row>
    <row r="154" spans="1:20">
      <c r="A154" s="146">
        <v>110</v>
      </c>
      <c r="B154" s="31"/>
      <c r="C154" s="31"/>
      <c r="D154" s="31"/>
      <c r="E154" s="31">
        <f>IF(Resource!$T27=0,0,E218/$S218*Resource!$T27)</f>
        <v>0</v>
      </c>
      <c r="F154" s="31">
        <f>IF(Resource!$T27=0,0,F218/$S218*Resource!$T27)</f>
        <v>0</v>
      </c>
      <c r="G154" s="31">
        <f>IF(Resource!$T27=0,0,G218/$S218*Resource!$T27)</f>
        <v>0</v>
      </c>
      <c r="H154" s="31">
        <f>IF(Resource!$T27=0,0,H218/$S218*Resource!$T27)</f>
        <v>0</v>
      </c>
      <c r="I154" s="31">
        <f>IF(Resource!$T27=0,0,I218/$S218*Resource!$T27)</f>
        <v>0</v>
      </c>
      <c r="J154" s="31">
        <f>IF(Resource!$T27=0,0,J218/$S218*Resource!$T27)</f>
        <v>0</v>
      </c>
      <c r="K154" s="31">
        <f>IF(Resource!$T27=0,0,K218/$S218*Resource!$T27)</f>
        <v>0</v>
      </c>
      <c r="L154" s="31">
        <f>IF(Resource!$T27=0,0,L218/$S218*Resource!$T27)</f>
        <v>0</v>
      </c>
      <c r="M154" s="31">
        <f>IF(Resource!$T27=0,0,M218/$S218*Resource!$T27)</f>
        <v>0</v>
      </c>
      <c r="N154" s="31">
        <f>IF(Resource!$T27=0,0,N218/$S218*Resource!$T27)</f>
        <v>0</v>
      </c>
      <c r="O154" s="31">
        <f>IF(Resource!$T27=0,0,O218/$S218*Resource!$T27)</f>
        <v>0</v>
      </c>
      <c r="P154" s="31">
        <f>IF(Resource!$T27=0,0,P218/$S218*Resource!$T27)</f>
        <v>0</v>
      </c>
      <c r="Q154" s="31">
        <f>IF(Resource!$T27=0,0,Q218/$S218*Resource!$T27)</f>
        <v>0</v>
      </c>
      <c r="R154" s="31"/>
      <c r="S154" s="11">
        <f t="shared" si="6"/>
        <v>0</v>
      </c>
      <c r="T154" s="2">
        <f>Resource!T27</f>
        <v>0</v>
      </c>
    </row>
    <row r="155" spans="1:20">
      <c r="A155" s="112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11"/>
      <c r="T155" s="2"/>
    </row>
    <row r="156" spans="1:20">
      <c r="A156" s="39" t="s">
        <v>179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11"/>
      <c r="T156" s="2"/>
    </row>
    <row r="157" spans="1:20">
      <c r="A157" s="146">
        <v>150</v>
      </c>
      <c r="B157" s="31"/>
      <c r="C157" s="31"/>
      <c r="D157" s="31"/>
      <c r="E157" s="31">
        <f>IF(Resource!$T30=0,0,E221/$S221*Resource!$T30)</f>
        <v>0</v>
      </c>
      <c r="F157" s="31">
        <f>IF(Resource!$T30=0,0,F221/$S221*Resource!$T30)</f>
        <v>0</v>
      </c>
      <c r="G157" s="31">
        <f>IF(Resource!$T30=0,0,G221/$S221*Resource!$T30)</f>
        <v>0</v>
      </c>
      <c r="H157" s="31">
        <f>IF(Resource!$T30=0,0,H221/$S221*Resource!$T30)</f>
        <v>0</v>
      </c>
      <c r="I157" s="31">
        <f>IF(Resource!$T30=0,0,I221/$S221*Resource!$T30)</f>
        <v>0</v>
      </c>
      <c r="J157" s="31">
        <f>IF(Resource!$T30=0,0,J221/$S221*Resource!$T30)</f>
        <v>0</v>
      </c>
      <c r="K157" s="31">
        <f>IF(Resource!$T30=0,0,K221/$S221*Resource!$T30)</f>
        <v>0</v>
      </c>
      <c r="L157" s="31">
        <f>IF(Resource!$T30=0,0,L221/$S221*Resource!$T30)</f>
        <v>0</v>
      </c>
      <c r="M157" s="31">
        <f>IF(Resource!$T30=0,0,M221/$S221*Resource!$T30)</f>
        <v>0</v>
      </c>
      <c r="N157" s="31">
        <f>IF(Resource!$T30=0,0,N221/$S221*Resource!$T30)</f>
        <v>0</v>
      </c>
      <c r="O157" s="31">
        <f>IF(Resource!$T30=0,0,O221/$S221*Resource!$T30)</f>
        <v>0</v>
      </c>
      <c r="P157" s="31">
        <f>IF(Resource!$T30=0,0,P221/$S221*Resource!$T30)</f>
        <v>0</v>
      </c>
      <c r="Q157" s="31">
        <f>IF(Resource!$T30=0,0,Q221/$S221*Resource!$T30)</f>
        <v>0</v>
      </c>
      <c r="R157" s="31"/>
      <c r="S157" s="11">
        <f t="shared" ref="S157:S187" si="7">SUM(B157:R157)</f>
        <v>0</v>
      </c>
      <c r="T157" s="2">
        <f>Resource!T30</f>
        <v>0</v>
      </c>
    </row>
    <row r="158" spans="1:20">
      <c r="A158" s="146">
        <v>145</v>
      </c>
      <c r="B158" s="31"/>
      <c r="C158" s="31"/>
      <c r="D158" s="31"/>
      <c r="E158" s="31">
        <f>IF(Resource!$T31=0,0,E222/$S222*Resource!$T31)</f>
        <v>0</v>
      </c>
      <c r="F158" s="31">
        <f>IF(Resource!$T31=0,0,F222/$S222*Resource!$T31)</f>
        <v>0</v>
      </c>
      <c r="G158" s="31">
        <f>IF(Resource!$T31=0,0,G222/$S222*Resource!$T31)</f>
        <v>0</v>
      </c>
      <c r="H158" s="31">
        <f>IF(Resource!$T31=0,0,H222/$S222*Resource!$T31)</f>
        <v>0</v>
      </c>
      <c r="I158" s="31">
        <f>IF(Resource!$T31=0,0,I222/$S222*Resource!$T31)</f>
        <v>0</v>
      </c>
      <c r="J158" s="31">
        <f>IF(Resource!$T31=0,0,J222/$S222*Resource!$T31)</f>
        <v>0</v>
      </c>
      <c r="K158" s="31">
        <f>IF(Resource!$T31=0,0,K222/$S222*Resource!$T31)</f>
        <v>0</v>
      </c>
      <c r="L158" s="31">
        <f>IF(Resource!$T31=0,0,L222/$S222*Resource!$T31)</f>
        <v>0</v>
      </c>
      <c r="M158" s="31">
        <f>IF(Resource!$T31=0,0,M222/$S222*Resource!$T31)</f>
        <v>0</v>
      </c>
      <c r="N158" s="31">
        <f>IF(Resource!$T31=0,0,N222/$S222*Resource!$T31)</f>
        <v>0</v>
      </c>
      <c r="O158" s="31">
        <f>IF(Resource!$T31=0,0,O222/$S222*Resource!$T31)</f>
        <v>0</v>
      </c>
      <c r="P158" s="31">
        <f>IF(Resource!$T31=0,0,P222/$S222*Resource!$T31)</f>
        <v>0</v>
      </c>
      <c r="Q158" s="31">
        <f>IF(Resource!$T31=0,0,Q222/$S222*Resource!$T31)</f>
        <v>0</v>
      </c>
      <c r="R158" s="31"/>
      <c r="S158" s="11">
        <f t="shared" si="7"/>
        <v>0</v>
      </c>
      <c r="T158" s="2">
        <f>Resource!T31</f>
        <v>0</v>
      </c>
    </row>
    <row r="159" spans="1:20">
      <c r="A159" s="146">
        <v>140</v>
      </c>
      <c r="B159" s="31"/>
      <c r="C159" s="31"/>
      <c r="D159" s="31"/>
      <c r="E159" s="31">
        <f>IF(Resource!$T32=0,0,E223/$S223*Resource!$T32)</f>
        <v>0</v>
      </c>
      <c r="F159" s="31">
        <f>IF(Resource!$T32=0,0,F223/$S223*Resource!$T32)</f>
        <v>0</v>
      </c>
      <c r="G159" s="31">
        <f>IF(Resource!$T32=0,0,G223/$S223*Resource!$T32)</f>
        <v>0</v>
      </c>
      <c r="H159" s="31">
        <f>IF(Resource!$T32=0,0,H223/$S223*Resource!$T32)</f>
        <v>0</v>
      </c>
      <c r="I159" s="31">
        <f>IF(Resource!$T32=0,0,I223/$S223*Resource!$T32)</f>
        <v>0</v>
      </c>
      <c r="J159" s="31">
        <f>IF(Resource!$T32=0,0,J223/$S223*Resource!$T32)</f>
        <v>0</v>
      </c>
      <c r="K159" s="31">
        <f>IF(Resource!$T32=0,0,K223/$S223*Resource!$T32)</f>
        <v>0</v>
      </c>
      <c r="L159" s="31">
        <f>IF(Resource!$T32=0,0,L223/$S223*Resource!$T32)</f>
        <v>0</v>
      </c>
      <c r="M159" s="31">
        <f>IF(Resource!$T32=0,0,M223/$S223*Resource!$T32)</f>
        <v>0</v>
      </c>
      <c r="N159" s="31">
        <f>IF(Resource!$T32=0,0,N223/$S223*Resource!$T32)</f>
        <v>0</v>
      </c>
      <c r="O159" s="31">
        <f>IF(Resource!$T32=0,0,O223/$S223*Resource!$T32)</f>
        <v>0</v>
      </c>
      <c r="P159" s="31">
        <f>IF(Resource!$T32=0,0,P223/$S223*Resource!$T32)</f>
        <v>0</v>
      </c>
      <c r="Q159" s="31">
        <f>IF(Resource!$T32=0,0,Q223/$S223*Resource!$T32)</f>
        <v>0</v>
      </c>
      <c r="R159" s="31"/>
      <c r="S159" s="11">
        <f t="shared" si="7"/>
        <v>0</v>
      </c>
      <c r="T159" s="2">
        <f>Resource!T32</f>
        <v>0</v>
      </c>
    </row>
    <row r="160" spans="1:20">
      <c r="A160" s="146">
        <v>135</v>
      </c>
      <c r="B160" s="31"/>
      <c r="C160" s="31"/>
      <c r="D160" s="31"/>
      <c r="E160" s="31">
        <f>IF(Resource!$T33=0,0,E224/$S224*Resource!$T33)</f>
        <v>0</v>
      </c>
      <c r="F160" s="31">
        <f>IF(Resource!$T33=0,0,F224/$S224*Resource!$T33)</f>
        <v>0</v>
      </c>
      <c r="G160" s="31">
        <f>IF(Resource!$T33=0,0,G224/$S224*Resource!$T33)</f>
        <v>0</v>
      </c>
      <c r="H160" s="31">
        <f>IF(Resource!$T33=0,0,H224/$S224*Resource!$T33)</f>
        <v>0</v>
      </c>
      <c r="I160" s="31">
        <f>IF(Resource!$T33=0,0,I224/$S224*Resource!$T33)</f>
        <v>0</v>
      </c>
      <c r="J160" s="31">
        <f>IF(Resource!$T33=0,0,J224/$S224*Resource!$T33)</f>
        <v>0</v>
      </c>
      <c r="K160" s="31">
        <f>IF(Resource!$T33=0,0,K224/$S224*Resource!$T33)</f>
        <v>0</v>
      </c>
      <c r="L160" s="31">
        <f>IF(Resource!$T33=0,0,L224/$S224*Resource!$T33)</f>
        <v>0</v>
      </c>
      <c r="M160" s="31">
        <f>IF(Resource!$T33=0,0,M224/$S224*Resource!$T33)</f>
        <v>0</v>
      </c>
      <c r="N160" s="31">
        <f>IF(Resource!$T33=0,0,N224/$S224*Resource!$T33)</f>
        <v>0</v>
      </c>
      <c r="O160" s="31">
        <f>IF(Resource!$T33=0,0,O224/$S224*Resource!$T33)</f>
        <v>0</v>
      </c>
      <c r="P160" s="31">
        <f>IF(Resource!$T33=0,0,P224/$S224*Resource!$T33)</f>
        <v>0</v>
      </c>
      <c r="Q160" s="31">
        <f>IF(Resource!$T33=0,0,Q224/$S224*Resource!$T33)</f>
        <v>0</v>
      </c>
      <c r="R160" s="31"/>
      <c r="S160" s="11">
        <f t="shared" si="7"/>
        <v>0</v>
      </c>
      <c r="T160" s="2">
        <f>Resource!T33</f>
        <v>0</v>
      </c>
    </row>
    <row r="161" spans="1:20">
      <c r="A161" s="146">
        <v>130</v>
      </c>
      <c r="B161" s="31"/>
      <c r="C161" s="31"/>
      <c r="D161" s="31"/>
      <c r="E161" s="31">
        <f>IF(Resource!$T34=0,0,E225/$S225*Resource!$T34)</f>
        <v>0</v>
      </c>
      <c r="F161" s="31">
        <f>IF(Resource!$T34=0,0,F225/$S225*Resource!$T34)</f>
        <v>0</v>
      </c>
      <c r="G161" s="31">
        <f>IF(Resource!$T34=0,0,G225/$S225*Resource!$T34)</f>
        <v>0</v>
      </c>
      <c r="H161" s="31">
        <f>IF(Resource!$T34=0,0,H225/$S225*Resource!$T34)</f>
        <v>0</v>
      </c>
      <c r="I161" s="31">
        <f>IF(Resource!$T34=0,0,I225/$S225*Resource!$T34)</f>
        <v>0</v>
      </c>
      <c r="J161" s="31">
        <f>IF(Resource!$T34=0,0,J225/$S225*Resource!$T34)</f>
        <v>0</v>
      </c>
      <c r="K161" s="31">
        <f>IF(Resource!$T34=0,0,K225/$S225*Resource!$T34)</f>
        <v>0</v>
      </c>
      <c r="L161" s="31">
        <f>IF(Resource!$T34=0,0,L225/$S225*Resource!$T34)</f>
        <v>0</v>
      </c>
      <c r="M161" s="31">
        <f>IF(Resource!$T34=0,0,M225/$S225*Resource!$T34)</f>
        <v>0</v>
      </c>
      <c r="N161" s="31">
        <f>IF(Resource!$T34=0,0,N225/$S225*Resource!$T34)</f>
        <v>0</v>
      </c>
      <c r="O161" s="31">
        <f>IF(Resource!$T34=0,0,O225/$S225*Resource!$T34)</f>
        <v>0</v>
      </c>
      <c r="P161" s="31">
        <f>IF(Resource!$T34=0,0,P225/$S225*Resource!$T34)</f>
        <v>0</v>
      </c>
      <c r="Q161" s="31">
        <f>IF(Resource!$T34=0,0,Q225/$S225*Resource!$T34)</f>
        <v>0</v>
      </c>
      <c r="R161" s="31"/>
      <c r="S161" s="11">
        <f t="shared" si="7"/>
        <v>0</v>
      </c>
      <c r="T161" s="2">
        <f>Resource!T34</f>
        <v>0</v>
      </c>
    </row>
    <row r="162" spans="1:20">
      <c r="A162" s="146">
        <v>125</v>
      </c>
      <c r="B162" s="31"/>
      <c r="C162" s="31"/>
      <c r="D162" s="31"/>
      <c r="E162" s="31">
        <f>IF(Resource!$T35=0,0,E226/$S226*Resource!$T35)</f>
        <v>0</v>
      </c>
      <c r="F162" s="31">
        <f>IF(Resource!$T35=0,0,F226/$S226*Resource!$T35)</f>
        <v>0</v>
      </c>
      <c r="G162" s="31">
        <f>IF(Resource!$T35=0,0,G226/$S226*Resource!$T35)</f>
        <v>10267.276818729959</v>
      </c>
      <c r="H162" s="31">
        <f>IF(Resource!$T35=0,0,H226/$S226*Resource!$T35)</f>
        <v>28110.714876523951</v>
      </c>
      <c r="I162" s="31">
        <f>IF(Resource!$T35=0,0,I226/$S226*Resource!$T35)</f>
        <v>11622.00830474609</v>
      </c>
      <c r="J162" s="31">
        <f>IF(Resource!$T35=0,0,J226/$S226*Resource!$T35)</f>
        <v>0</v>
      </c>
      <c r="K162" s="31">
        <f>IF(Resource!$T35=0,0,K226/$S226*Resource!$T35)</f>
        <v>0</v>
      </c>
      <c r="L162" s="31">
        <f>IF(Resource!$T35=0,0,L226/$S226*Resource!$T35)</f>
        <v>0</v>
      </c>
      <c r="M162" s="31">
        <f>IF(Resource!$T35=0,0,M226/$S226*Resource!$T35)</f>
        <v>0</v>
      </c>
      <c r="N162" s="31">
        <f>IF(Resource!$T35=0,0,N226/$S226*Resource!$T35)</f>
        <v>0</v>
      </c>
      <c r="O162" s="31">
        <f>IF(Resource!$T35=0,0,O226/$S226*Resource!$T35)</f>
        <v>0</v>
      </c>
      <c r="P162" s="31">
        <f>IF(Resource!$T35=0,0,P226/$S226*Resource!$T35)</f>
        <v>0</v>
      </c>
      <c r="Q162" s="31">
        <f>IF(Resource!$T35=0,0,Q226/$S226*Resource!$T35)</f>
        <v>0</v>
      </c>
      <c r="R162" s="31"/>
      <c r="S162" s="11">
        <f t="shared" si="7"/>
        <v>50000</v>
      </c>
      <c r="T162" s="2">
        <f>Resource!T35</f>
        <v>50000</v>
      </c>
    </row>
    <row r="163" spans="1:20">
      <c r="A163" s="146">
        <v>120</v>
      </c>
      <c r="B163" s="31"/>
      <c r="C163" s="31"/>
      <c r="D163" s="31"/>
      <c r="E163" s="31">
        <f>IF(Resource!$T36=0,0,E227/$S227*Resource!$T36)</f>
        <v>0</v>
      </c>
      <c r="F163" s="31">
        <f>IF(Resource!$T36=0,0,F227/$S227*Resource!$T36)</f>
        <v>0</v>
      </c>
      <c r="G163" s="31">
        <f>IF(Resource!$T36=0,0,G227/$S227*Resource!$T36)</f>
        <v>0</v>
      </c>
      <c r="H163" s="31">
        <f>IF(Resource!$T36=0,0,H227/$S227*Resource!$T36)</f>
        <v>0</v>
      </c>
      <c r="I163" s="31">
        <f>IF(Resource!$T36=0,0,I227/$S227*Resource!$T36)</f>
        <v>16727.114454022929</v>
      </c>
      <c r="J163" s="31">
        <f>IF(Resource!$T36=0,0,J227/$S227*Resource!$T36)</f>
        <v>28272.885545977068</v>
      </c>
      <c r="K163" s="31">
        <f>IF(Resource!$T36=0,0,K227/$S227*Resource!$T36)</f>
        <v>0</v>
      </c>
      <c r="L163" s="31">
        <f>IF(Resource!$T36=0,0,L227/$S227*Resource!$T36)</f>
        <v>0</v>
      </c>
      <c r="M163" s="31">
        <f>IF(Resource!$T36=0,0,M227/$S227*Resource!$T36)</f>
        <v>0</v>
      </c>
      <c r="N163" s="31">
        <f>IF(Resource!$T36=0,0,N227/$S227*Resource!$T36)</f>
        <v>0</v>
      </c>
      <c r="O163" s="31">
        <f>IF(Resource!$T36=0,0,O227/$S227*Resource!$T36)</f>
        <v>0</v>
      </c>
      <c r="P163" s="31">
        <f>IF(Resource!$T36=0,0,P227/$S227*Resource!$T36)</f>
        <v>0</v>
      </c>
      <c r="Q163" s="31">
        <f>IF(Resource!$T36=0,0,Q227/$S227*Resource!$T36)</f>
        <v>0</v>
      </c>
      <c r="R163" s="31"/>
      <c r="S163" s="11">
        <f t="shared" si="7"/>
        <v>45000</v>
      </c>
      <c r="T163" s="2">
        <f>Resource!T36</f>
        <v>45000</v>
      </c>
    </row>
    <row r="164" spans="1:20">
      <c r="A164" s="146">
        <v>115</v>
      </c>
      <c r="B164" s="31"/>
      <c r="C164" s="31"/>
      <c r="D164" s="31"/>
      <c r="E164" s="31">
        <f>IF(Resource!$T37=0,0,E228/$S228*Resource!$T37)</f>
        <v>0</v>
      </c>
      <c r="F164" s="31">
        <f>IF(Resource!$T37=0,0,F228/$S228*Resource!$T37)</f>
        <v>0</v>
      </c>
      <c r="G164" s="31">
        <f>IF(Resource!$T37=0,0,G228/$S228*Resource!$T37)</f>
        <v>0</v>
      </c>
      <c r="H164" s="31">
        <f>IF(Resource!$T37=0,0,H228/$S228*Resource!$T37)</f>
        <v>0</v>
      </c>
      <c r="I164" s="31">
        <f>IF(Resource!$T37=0,0,I228/$S228*Resource!$T37)</f>
        <v>0</v>
      </c>
      <c r="J164" s="31">
        <f>IF(Resource!$T37=0,0,J228/$S228*Resource!$T37)</f>
        <v>249.12586786881485</v>
      </c>
      <c r="K164" s="31">
        <f>IF(Resource!$T37=0,0,K228/$S228*Resource!$T37)</f>
        <v>39750.87413213119</v>
      </c>
      <c r="L164" s="31">
        <f>IF(Resource!$T37=0,0,L228/$S228*Resource!$T37)</f>
        <v>0</v>
      </c>
      <c r="M164" s="31">
        <f>IF(Resource!$T37=0,0,M228/$S228*Resource!$T37)</f>
        <v>0</v>
      </c>
      <c r="N164" s="31">
        <f>IF(Resource!$T37=0,0,N228/$S228*Resource!$T37)</f>
        <v>0</v>
      </c>
      <c r="O164" s="31">
        <f>IF(Resource!$T37=0,0,O228/$S228*Resource!$T37)</f>
        <v>0</v>
      </c>
      <c r="P164" s="31">
        <f>IF(Resource!$T37=0,0,P228/$S228*Resource!$T37)</f>
        <v>0</v>
      </c>
      <c r="Q164" s="31">
        <f>IF(Resource!$T37=0,0,Q228/$S228*Resource!$T37)</f>
        <v>0</v>
      </c>
      <c r="R164" s="31"/>
      <c r="S164" s="11">
        <f t="shared" si="7"/>
        <v>40000.000000000007</v>
      </c>
      <c r="T164" s="2">
        <f>Resource!T37</f>
        <v>40000</v>
      </c>
    </row>
    <row r="165" spans="1:20">
      <c r="A165" s="146">
        <v>110</v>
      </c>
      <c r="B165" s="31"/>
      <c r="C165" s="31"/>
      <c r="D165" s="31"/>
      <c r="E165" s="31">
        <f>IF(Resource!$T38=0,0,E229/$S229*Resource!$T38)</f>
        <v>0</v>
      </c>
      <c r="F165" s="31">
        <f>IF(Resource!$T38=0,0,F229/$S229*Resource!$T38)</f>
        <v>0</v>
      </c>
      <c r="G165" s="31">
        <f>IF(Resource!$T38=0,0,G229/$S229*Resource!$T38)</f>
        <v>0</v>
      </c>
      <c r="H165" s="31">
        <f>IF(Resource!$T38=0,0,H229/$S229*Resource!$T38)</f>
        <v>0</v>
      </c>
      <c r="I165" s="31">
        <f>IF(Resource!$T38=0,0,I229/$S229*Resource!$T38)</f>
        <v>0</v>
      </c>
      <c r="J165" s="31">
        <f>IF(Resource!$T38=0,0,J229/$S229*Resource!$T38)</f>
        <v>0</v>
      </c>
      <c r="K165" s="31">
        <f>IF(Resource!$T38=0,0,K229/$S229*Resource!$T38)</f>
        <v>-10694.337103119555</v>
      </c>
      <c r="L165" s="31">
        <f>IF(Resource!$T38=0,0,L229/$S229*Resource!$T38)</f>
        <v>45694.337103119557</v>
      </c>
      <c r="M165" s="31">
        <f>IF(Resource!$T38=0,0,M229/$S229*Resource!$T38)</f>
        <v>0</v>
      </c>
      <c r="N165" s="31">
        <f>IF(Resource!$T38=0,0,N229/$S229*Resource!$T38)</f>
        <v>0</v>
      </c>
      <c r="O165" s="31">
        <f>IF(Resource!$T38=0,0,O229/$S229*Resource!$T38)</f>
        <v>0</v>
      </c>
      <c r="P165" s="31">
        <f>IF(Resource!$T38=0,0,P229/$S229*Resource!$T38)</f>
        <v>0</v>
      </c>
      <c r="Q165" s="31">
        <f>IF(Resource!$T38=0,0,Q229/$S229*Resource!$T38)</f>
        <v>0</v>
      </c>
      <c r="R165" s="31"/>
      <c r="S165" s="11">
        <f t="shared" si="7"/>
        <v>35000</v>
      </c>
      <c r="T165" s="2">
        <f>Resource!T38</f>
        <v>35000</v>
      </c>
    </row>
    <row r="166" spans="1:20">
      <c r="A166" s="139">
        <v>105</v>
      </c>
      <c r="B166" s="31"/>
      <c r="C166" s="31"/>
      <c r="D166" s="31"/>
      <c r="E166" s="31">
        <f>IF(Resource!$T39=0,0,E230/$S230*Resource!$T39)</f>
        <v>0</v>
      </c>
      <c r="F166" s="31">
        <f>IF(Resource!$T39=0,0,F230/$S230*Resource!$T39)</f>
        <v>0</v>
      </c>
      <c r="G166" s="31">
        <f>IF(Resource!$T39=0,0,G230/$S230*Resource!$T39)</f>
        <v>0</v>
      </c>
      <c r="H166" s="31">
        <f>IF(Resource!$T39=0,0,H230/$S230*Resource!$T39)</f>
        <v>0</v>
      </c>
      <c r="I166" s="31">
        <f>IF(Resource!$T39=0,0,I230/$S230*Resource!$T39)</f>
        <v>0</v>
      </c>
      <c r="J166" s="31">
        <f>IF(Resource!$T39=0,0,J230/$S230*Resource!$T39)</f>
        <v>0</v>
      </c>
      <c r="K166" s="31">
        <f>IF(Resource!$T39=0,0,K230/$S230*Resource!$T39)</f>
        <v>0</v>
      </c>
      <c r="L166" s="31">
        <f>IF(Resource!$T39=0,0,L230/$S230*Resource!$T39)</f>
        <v>-17305.417073634177</v>
      </c>
      <c r="M166" s="31">
        <f>IF(Resource!$T39=0,0,M230/$S230*Resource!$T39)</f>
        <v>47305.417073634177</v>
      </c>
      <c r="N166" s="31">
        <f>IF(Resource!$T39=0,0,N230/$S230*Resource!$T39)</f>
        <v>0</v>
      </c>
      <c r="O166" s="31">
        <f>IF(Resource!$T39=0,0,O230/$S230*Resource!$T39)</f>
        <v>0</v>
      </c>
      <c r="P166" s="31">
        <f>IF(Resource!$T39=0,0,P230/$S230*Resource!$T39)</f>
        <v>0</v>
      </c>
      <c r="Q166" s="31">
        <f>IF(Resource!$T39=0,0,Q230/$S230*Resource!$T39)</f>
        <v>0</v>
      </c>
      <c r="R166" s="31"/>
      <c r="S166" s="11">
        <f t="shared" si="7"/>
        <v>30000</v>
      </c>
      <c r="T166" s="2">
        <f>Resource!T39</f>
        <v>30000</v>
      </c>
    </row>
    <row r="167" spans="1:20">
      <c r="A167" s="139">
        <v>100</v>
      </c>
      <c r="B167" s="31"/>
      <c r="C167" s="31"/>
      <c r="D167" s="31"/>
      <c r="E167" s="31">
        <f>IF(Resource!$T40=0,0,E231/$S231*Resource!$T40)</f>
        <v>0</v>
      </c>
      <c r="F167" s="31">
        <f>IF(Resource!$T40=0,0,F231/$S231*Resource!$T40)</f>
        <v>0</v>
      </c>
      <c r="G167" s="31">
        <f>IF(Resource!$T40=0,0,G231/$S231*Resource!$T40)</f>
        <v>0</v>
      </c>
      <c r="H167" s="31">
        <f>IF(Resource!$T40=0,0,H231/$S231*Resource!$T40)</f>
        <v>0</v>
      </c>
      <c r="I167" s="31">
        <f>IF(Resource!$T40=0,0,I231/$S231*Resource!$T40)</f>
        <v>0</v>
      </c>
      <c r="J167" s="31">
        <f>IF(Resource!$T40=0,0,J231/$S231*Resource!$T40)</f>
        <v>0</v>
      </c>
      <c r="K167" s="31">
        <f>IF(Resource!$T40=0,0,K231/$S231*Resource!$T40)</f>
        <v>0</v>
      </c>
      <c r="L167" s="31">
        <f>IF(Resource!$T40=0,0,L231/$S231*Resource!$T40)</f>
        <v>0</v>
      </c>
      <c r="M167" s="31">
        <f>IF(Resource!$T40=0,0,M231/$S231*Resource!$T40)</f>
        <v>-26347.724704413544</v>
      </c>
      <c r="N167" s="31">
        <f>IF(Resource!$T40=0,0,N231/$S231*Resource!$T40)</f>
        <v>61347.724704413544</v>
      </c>
      <c r="O167" s="31">
        <f>IF(Resource!$T40=0,0,O231/$S231*Resource!$T40)</f>
        <v>0</v>
      </c>
      <c r="P167" s="31">
        <f>IF(Resource!$T40=0,0,P231/$S231*Resource!$T40)</f>
        <v>0</v>
      </c>
      <c r="Q167" s="31">
        <f>IF(Resource!$T40=0,0,Q231/$S231*Resource!$T40)</f>
        <v>0</v>
      </c>
      <c r="R167" s="31"/>
      <c r="S167" s="11">
        <f t="shared" si="7"/>
        <v>35000</v>
      </c>
      <c r="T167" s="2">
        <f>Resource!T40</f>
        <v>35000</v>
      </c>
    </row>
    <row r="168" spans="1:20">
      <c r="A168" s="139">
        <v>95</v>
      </c>
      <c r="B168" s="31"/>
      <c r="C168" s="31"/>
      <c r="D168" s="31"/>
      <c r="E168" s="31">
        <f>IF(Resource!$T41=0,0,E232/$S232*Resource!$T41)</f>
        <v>0</v>
      </c>
      <c r="F168" s="31">
        <f>IF(Resource!$T41=0,0,F232/$S232*Resource!$T41)</f>
        <v>0</v>
      </c>
      <c r="G168" s="31">
        <f>IF(Resource!$T41=0,0,G232/$S232*Resource!$T41)</f>
        <v>0</v>
      </c>
      <c r="H168" s="31">
        <f>IF(Resource!$T41=0,0,H232/$S232*Resource!$T41)</f>
        <v>0</v>
      </c>
      <c r="I168" s="31">
        <f>IF(Resource!$T41=0,0,I232/$S232*Resource!$T41)</f>
        <v>0</v>
      </c>
      <c r="J168" s="31">
        <f>IF(Resource!$T41=0,0,J232/$S232*Resource!$T41)</f>
        <v>0</v>
      </c>
      <c r="K168" s="31">
        <f>IF(Resource!$T41=0,0,K232/$S232*Resource!$T41)</f>
        <v>0</v>
      </c>
      <c r="L168" s="31">
        <f>IF(Resource!$T41=0,0,L232/$S232*Resource!$T41)</f>
        <v>0</v>
      </c>
      <c r="M168" s="31">
        <f>IF(Resource!$T41=0,0,M232/$S232*Resource!$T41)</f>
        <v>0</v>
      </c>
      <c r="N168" s="31">
        <f>IF(Resource!$T41=0,0,N232/$S232*Resource!$T41)</f>
        <v>-15376.275044591544</v>
      </c>
      <c r="O168" s="31">
        <f>IF(Resource!$T41=0,0,O232/$S232*Resource!$T41)</f>
        <v>35376.275044591544</v>
      </c>
      <c r="P168" s="31">
        <f>IF(Resource!$T41=0,0,P232/$S232*Resource!$T41)</f>
        <v>0</v>
      </c>
      <c r="Q168" s="31">
        <f>IF(Resource!$T41=0,0,Q232/$S232*Resource!$T41)</f>
        <v>0</v>
      </c>
      <c r="R168" s="31"/>
      <c r="S168" s="11">
        <f t="shared" si="7"/>
        <v>20000</v>
      </c>
      <c r="T168" s="2">
        <f>Resource!T41</f>
        <v>20000</v>
      </c>
    </row>
    <row r="169" spans="1:20">
      <c r="A169" s="139">
        <v>90</v>
      </c>
      <c r="B169" s="31"/>
      <c r="C169" s="31"/>
      <c r="D169" s="31"/>
      <c r="E169" s="31">
        <f>IF(Resource!$T42=0,0,E233/$S233*Resource!$T42)</f>
        <v>0</v>
      </c>
      <c r="F169" s="31">
        <f>IF(Resource!$T42=0,0,F233/$S233*Resource!$T42)</f>
        <v>0</v>
      </c>
      <c r="G169" s="31">
        <f>IF(Resource!$T42=0,0,G233/$S233*Resource!$T42)</f>
        <v>0</v>
      </c>
      <c r="H169" s="31">
        <f>IF(Resource!$T42=0,0,H233/$S233*Resource!$T42)</f>
        <v>0</v>
      </c>
      <c r="I169" s="31">
        <f>IF(Resource!$T42=0,0,I233/$S233*Resource!$T42)</f>
        <v>0</v>
      </c>
      <c r="J169" s="31">
        <f>IF(Resource!$T42=0,0,J233/$S233*Resource!$T42)</f>
        <v>0</v>
      </c>
      <c r="K169" s="31">
        <f>IF(Resource!$T42=0,0,K233/$S233*Resource!$T42)</f>
        <v>0</v>
      </c>
      <c r="L169" s="31">
        <f>IF(Resource!$T42=0,0,L233/$S233*Resource!$T42)</f>
        <v>0</v>
      </c>
      <c r="M169" s="31">
        <f>IF(Resource!$T42=0,0,M233/$S233*Resource!$T42)</f>
        <v>0</v>
      </c>
      <c r="N169" s="31">
        <f>IF(Resource!$T42=0,0,N233/$S233*Resource!$T42)</f>
        <v>0</v>
      </c>
      <c r="O169" s="31">
        <f>IF(Resource!$T42=0,0,O233/$S233*Resource!$T42)</f>
        <v>15000</v>
      </c>
      <c r="P169" s="31">
        <f>IF(Resource!$T42=0,0,P233/$S233*Resource!$T42)</f>
        <v>0</v>
      </c>
      <c r="Q169" s="31">
        <f>IF(Resource!$T42=0,0,Q233/$S233*Resource!$T42)</f>
        <v>0</v>
      </c>
      <c r="R169" s="31"/>
      <c r="S169" s="11">
        <f t="shared" si="7"/>
        <v>15000</v>
      </c>
      <c r="T169" s="2">
        <f>Resource!T42</f>
        <v>15000</v>
      </c>
    </row>
    <row r="170" spans="1:20">
      <c r="A170" s="139">
        <v>85</v>
      </c>
      <c r="B170" s="31"/>
      <c r="C170" s="31"/>
      <c r="D170" s="31"/>
      <c r="E170" s="31">
        <f>IF(Resource!$T43=0,0,E234/$S234*Resource!$T43)</f>
        <v>0</v>
      </c>
      <c r="F170" s="31">
        <f>IF(Resource!$T43=0,0,F234/$S234*Resource!$T43)</f>
        <v>0</v>
      </c>
      <c r="G170" s="31">
        <f>IF(Resource!$T43=0,0,G234/$S234*Resource!$T43)</f>
        <v>0</v>
      </c>
      <c r="H170" s="31">
        <f>IF(Resource!$T43=0,0,H234/$S234*Resource!$T43)</f>
        <v>0</v>
      </c>
      <c r="I170" s="31">
        <f>IF(Resource!$T43=0,0,I234/$S234*Resource!$T43)</f>
        <v>0</v>
      </c>
      <c r="J170" s="31">
        <f>IF(Resource!$T43=0,0,J234/$S234*Resource!$T43)</f>
        <v>0</v>
      </c>
      <c r="K170" s="31">
        <f>IF(Resource!$T43=0,0,K234/$S234*Resource!$T43)</f>
        <v>0</v>
      </c>
      <c r="L170" s="31">
        <f>IF(Resource!$T43=0,0,L234/$S234*Resource!$T43)</f>
        <v>0</v>
      </c>
      <c r="M170" s="31">
        <f>IF(Resource!$T43=0,0,M234/$S234*Resource!$T43)</f>
        <v>0</v>
      </c>
      <c r="N170" s="31">
        <f>IF(Resource!$T43=0,0,N234/$S234*Resource!$T43)</f>
        <v>0</v>
      </c>
      <c r="O170" s="31">
        <f>IF(Resource!$T43=0,0,O234/$S234*Resource!$T43)</f>
        <v>-18624.432735655035</v>
      </c>
      <c r="P170" s="31">
        <f>IF(Resource!$T43=0,0,P234/$S234*Resource!$T43)</f>
        <v>28624.432735655035</v>
      </c>
      <c r="Q170" s="31">
        <f>IF(Resource!$T43=0,0,Q234/$S234*Resource!$T43)</f>
        <v>0</v>
      </c>
      <c r="R170" s="31"/>
      <c r="S170" s="11">
        <f t="shared" si="7"/>
        <v>10000</v>
      </c>
      <c r="T170" s="2">
        <f>Resource!T43</f>
        <v>10000</v>
      </c>
    </row>
    <row r="171" spans="1:20">
      <c r="A171" s="141">
        <v>80</v>
      </c>
      <c r="B171" s="31"/>
      <c r="C171" s="31"/>
      <c r="D171" s="31"/>
      <c r="E171" s="31">
        <f>IF(Resource!$T44=0,0,E235/$S235*Resource!$T44)</f>
        <v>0</v>
      </c>
      <c r="F171" s="31">
        <f>IF(Resource!$T44=0,0,F235/$S235*Resource!$T44)</f>
        <v>0</v>
      </c>
      <c r="G171" s="31">
        <f>IF(Resource!$T44=0,0,G235/$S235*Resource!$T44)</f>
        <v>0</v>
      </c>
      <c r="H171" s="31">
        <f>IF(Resource!$T44=0,0,H235/$S235*Resource!$T44)</f>
        <v>0</v>
      </c>
      <c r="I171" s="31">
        <f>IF(Resource!$T44=0,0,I235/$S235*Resource!$T44)</f>
        <v>0</v>
      </c>
      <c r="J171" s="31">
        <f>IF(Resource!$T44=0,0,J235/$S235*Resource!$T44)</f>
        <v>0</v>
      </c>
      <c r="K171" s="31">
        <f>IF(Resource!$T44=0,0,K235/$S235*Resource!$T44)</f>
        <v>0</v>
      </c>
      <c r="L171" s="31">
        <f>IF(Resource!$T44=0,0,L235/$S235*Resource!$T44)</f>
        <v>0</v>
      </c>
      <c r="M171" s="31">
        <f>IF(Resource!$T44=0,0,M235/$S235*Resource!$T44)</f>
        <v>0</v>
      </c>
      <c r="N171" s="31">
        <f>IF(Resource!$T44=0,0,N235/$S235*Resource!$T44)</f>
        <v>0</v>
      </c>
      <c r="O171" s="31">
        <f>IF(Resource!$T44=0,0,O235/$S235*Resource!$T44)</f>
        <v>0</v>
      </c>
      <c r="P171" s="31">
        <f>IF(Resource!$T44=0,0,P235/$S235*Resource!$T44)</f>
        <v>5000</v>
      </c>
      <c r="Q171" s="31">
        <f>IF(Resource!$T44=0,0,Q235/$S235*Resource!$T44)</f>
        <v>0</v>
      </c>
      <c r="R171" s="31"/>
      <c r="S171" s="11">
        <f t="shared" si="7"/>
        <v>5000</v>
      </c>
      <c r="T171" s="2">
        <f>Resource!T44</f>
        <v>5000</v>
      </c>
    </row>
    <row r="172" spans="1:20">
      <c r="A172" s="141">
        <v>75</v>
      </c>
      <c r="B172" s="31"/>
      <c r="C172" s="31"/>
      <c r="D172" s="31"/>
      <c r="E172" s="31">
        <f>IF(Resource!$T45=0,0,E236/$S236*Resource!$T45)</f>
        <v>0</v>
      </c>
      <c r="F172" s="31">
        <f>IF(Resource!$T45=0,0,F236/$S236*Resource!$T45)</f>
        <v>0</v>
      </c>
      <c r="G172" s="31">
        <f>IF(Resource!$T45=0,0,G236/$S236*Resource!$T45)</f>
        <v>0</v>
      </c>
      <c r="H172" s="31">
        <f>IF(Resource!$T45=0,0,H236/$S236*Resource!$T45)</f>
        <v>0</v>
      </c>
      <c r="I172" s="31">
        <f>IF(Resource!$T45=0,0,I236/$S236*Resource!$T45)</f>
        <v>0</v>
      </c>
      <c r="J172" s="31">
        <f>IF(Resource!$T45=0,0,J236/$S236*Resource!$T45)</f>
        <v>0</v>
      </c>
      <c r="K172" s="31">
        <f>IF(Resource!$T45=0,0,K236/$S236*Resource!$T45)</f>
        <v>0</v>
      </c>
      <c r="L172" s="31">
        <f>IF(Resource!$T45=0,0,L236/$S236*Resource!$T45)</f>
        <v>0</v>
      </c>
      <c r="M172" s="31">
        <f>IF(Resource!$T45=0,0,M236/$S236*Resource!$T45)</f>
        <v>0</v>
      </c>
      <c r="N172" s="31">
        <f>IF(Resource!$T45=0,0,N236/$S236*Resource!$T45)</f>
        <v>0</v>
      </c>
      <c r="O172" s="31">
        <f>IF(Resource!$T45=0,0,O236/$S236*Resource!$T45)</f>
        <v>0</v>
      </c>
      <c r="P172" s="31">
        <f>IF(Resource!$T45=0,0,P236/$S236*Resource!$T45)</f>
        <v>0</v>
      </c>
      <c r="Q172" s="31">
        <f>IF(Resource!$T45=0,0,Q236/$S236*Resource!$T45)</f>
        <v>0</v>
      </c>
      <c r="R172" s="31"/>
      <c r="S172" s="11">
        <f t="shared" si="7"/>
        <v>0</v>
      </c>
      <c r="T172" s="2">
        <f>Resource!T45</f>
        <v>0</v>
      </c>
    </row>
    <row r="173" spans="1:20">
      <c r="A173" s="141">
        <v>70</v>
      </c>
      <c r="B173" s="31"/>
      <c r="C173" s="31"/>
      <c r="D173" s="31"/>
      <c r="E173" s="31">
        <f>IF(Resource!$T46=0,0,E237/$S237*Resource!$T46)</f>
        <v>0</v>
      </c>
      <c r="F173" s="31">
        <f>IF(Resource!$T46=0,0,F237/$S237*Resource!$T46)</f>
        <v>0</v>
      </c>
      <c r="G173" s="31">
        <f>IF(Resource!$T46=0,0,G237/$S237*Resource!$T46)</f>
        <v>0</v>
      </c>
      <c r="H173" s="31">
        <f>IF(Resource!$T46=0,0,H237/$S237*Resource!$T46)</f>
        <v>0</v>
      </c>
      <c r="I173" s="31">
        <f>IF(Resource!$T46=0,0,I237/$S237*Resource!$T46)</f>
        <v>0</v>
      </c>
      <c r="J173" s="31">
        <f>IF(Resource!$T46=0,0,J237/$S237*Resource!$T46)</f>
        <v>0</v>
      </c>
      <c r="K173" s="31">
        <f>IF(Resource!$T46=0,0,K237/$S237*Resource!$T46)</f>
        <v>0</v>
      </c>
      <c r="L173" s="31">
        <f>IF(Resource!$T46=0,0,L237/$S237*Resource!$T46)</f>
        <v>0</v>
      </c>
      <c r="M173" s="31">
        <f>IF(Resource!$T46=0,0,M237/$S237*Resource!$T46)</f>
        <v>0</v>
      </c>
      <c r="N173" s="31">
        <f>IF(Resource!$T46=0,0,N237/$S237*Resource!$T46)</f>
        <v>0</v>
      </c>
      <c r="O173" s="31">
        <f>IF(Resource!$T46=0,0,O237/$S237*Resource!$T46)</f>
        <v>0</v>
      </c>
      <c r="P173" s="31">
        <f>IF(Resource!$T46=0,0,P237/$S237*Resource!$T46)</f>
        <v>0</v>
      </c>
      <c r="Q173" s="31">
        <f>IF(Resource!$T46=0,0,Q237/$S237*Resource!$T46)</f>
        <v>0</v>
      </c>
      <c r="R173" s="31"/>
      <c r="S173" s="11">
        <f t="shared" si="7"/>
        <v>0</v>
      </c>
      <c r="T173" s="2">
        <f>Resource!T46</f>
        <v>0</v>
      </c>
    </row>
    <row r="174" spans="1:20">
      <c r="A174" s="141">
        <v>65</v>
      </c>
      <c r="B174" s="31"/>
      <c r="C174" s="31"/>
      <c r="D174" s="31"/>
      <c r="E174" s="31">
        <f>IF(Resource!$T47=0,0,E238/$S238*Resource!$T47)</f>
        <v>0</v>
      </c>
      <c r="F174" s="31">
        <f>IF(Resource!$T47=0,0,F238/$S238*Resource!$T47)</f>
        <v>0</v>
      </c>
      <c r="G174" s="31">
        <f>IF(Resource!$T47=0,0,G238/$S238*Resource!$T47)</f>
        <v>0</v>
      </c>
      <c r="H174" s="31">
        <f>IF(Resource!$T47=0,0,H238/$S238*Resource!$T47)</f>
        <v>0</v>
      </c>
      <c r="I174" s="31">
        <f>IF(Resource!$T47=0,0,I238/$S238*Resource!$T47)</f>
        <v>0</v>
      </c>
      <c r="J174" s="31">
        <f>IF(Resource!$T47=0,0,J238/$S238*Resource!$T47)</f>
        <v>0</v>
      </c>
      <c r="K174" s="31">
        <f>IF(Resource!$T47=0,0,K238/$S238*Resource!$T47)</f>
        <v>0</v>
      </c>
      <c r="L174" s="31">
        <f>IF(Resource!$T47=0,0,L238/$S238*Resource!$T47)</f>
        <v>0</v>
      </c>
      <c r="M174" s="31">
        <f>IF(Resource!$T47=0,0,M238/$S238*Resource!$T47)</f>
        <v>0</v>
      </c>
      <c r="N174" s="31">
        <f>IF(Resource!$T47=0,0,N238/$S238*Resource!$T47)</f>
        <v>0</v>
      </c>
      <c r="O174" s="31">
        <f>IF(Resource!$T47=0,0,O238/$S238*Resource!$T47)</f>
        <v>0</v>
      </c>
      <c r="P174" s="31">
        <f>IF(Resource!$T47=0,0,P238/$S238*Resource!$T47)</f>
        <v>0</v>
      </c>
      <c r="Q174" s="31">
        <f>IF(Resource!$T47=0,0,Q238/$S238*Resource!$T47)</f>
        <v>0</v>
      </c>
      <c r="R174" s="31"/>
      <c r="S174" s="11">
        <f t="shared" si="7"/>
        <v>0</v>
      </c>
      <c r="T174" s="2">
        <f>Resource!T47</f>
        <v>0</v>
      </c>
    </row>
    <row r="175" spans="1:20">
      <c r="A175" s="141">
        <v>60</v>
      </c>
      <c r="B175" s="31"/>
      <c r="C175" s="31"/>
      <c r="D175" s="31"/>
      <c r="E175" s="31">
        <f>IF(Resource!$T48=0,0,E239/$S239*Resource!$T48)</f>
        <v>0</v>
      </c>
      <c r="F175" s="31">
        <f>IF(Resource!$T48=0,0,F239/$S239*Resource!$T48)</f>
        <v>0</v>
      </c>
      <c r="G175" s="31">
        <f>IF(Resource!$T48=0,0,G239/$S239*Resource!$T48)</f>
        <v>0</v>
      </c>
      <c r="H175" s="31">
        <f>IF(Resource!$T48=0,0,H239/$S239*Resource!$T48)</f>
        <v>0</v>
      </c>
      <c r="I175" s="31">
        <f>IF(Resource!$T48=0,0,I239/$S239*Resource!$T48)</f>
        <v>0</v>
      </c>
      <c r="J175" s="31">
        <f>IF(Resource!$T48=0,0,J239/$S239*Resource!$T48)</f>
        <v>0</v>
      </c>
      <c r="K175" s="31">
        <f>IF(Resource!$T48=0,0,K239/$S239*Resource!$T48)</f>
        <v>0</v>
      </c>
      <c r="L175" s="31">
        <f>IF(Resource!$T48=0,0,L239/$S239*Resource!$T48)</f>
        <v>0</v>
      </c>
      <c r="M175" s="31">
        <f>IF(Resource!$T48=0,0,M239/$S239*Resource!$T48)</f>
        <v>0</v>
      </c>
      <c r="N175" s="31">
        <f>IF(Resource!$T48=0,0,N239/$S239*Resource!$T48)</f>
        <v>0</v>
      </c>
      <c r="O175" s="31">
        <f>IF(Resource!$T48=0,0,O239/$S239*Resource!$T48)</f>
        <v>0</v>
      </c>
      <c r="P175" s="31">
        <f>IF(Resource!$T48=0,0,P239/$S239*Resource!$T48)</f>
        <v>0</v>
      </c>
      <c r="Q175" s="31">
        <f>IF(Resource!$T48=0,0,Q239/$S239*Resource!$T48)</f>
        <v>0</v>
      </c>
      <c r="R175" s="31"/>
      <c r="S175" s="11">
        <f t="shared" si="7"/>
        <v>0</v>
      </c>
      <c r="T175" s="2">
        <f>Resource!T48</f>
        <v>0</v>
      </c>
    </row>
    <row r="176" spans="1:20">
      <c r="A176" s="146">
        <v>55</v>
      </c>
      <c r="B176" s="31"/>
      <c r="C176" s="31"/>
      <c r="D176" s="31"/>
      <c r="E176" s="31">
        <f>IF(Resource!$T49=0,0,E240/$S240*Resource!$T49)</f>
        <v>0</v>
      </c>
      <c r="F176" s="31">
        <f>IF(Resource!$T49=0,0,F240/$S240*Resource!$T49)</f>
        <v>0</v>
      </c>
      <c r="G176" s="31">
        <f>IF(Resource!$T49=0,0,G240/$S240*Resource!$T49)</f>
        <v>0</v>
      </c>
      <c r="H176" s="31">
        <f>IF(Resource!$T49=0,0,H240/$S240*Resource!$T49)</f>
        <v>0</v>
      </c>
      <c r="I176" s="31">
        <f>IF(Resource!$T49=0,0,I240/$S240*Resource!$T49)</f>
        <v>0</v>
      </c>
      <c r="J176" s="31">
        <f>IF(Resource!$T49=0,0,J240/$S240*Resource!$T49)</f>
        <v>0</v>
      </c>
      <c r="K176" s="31">
        <f>IF(Resource!$T49=0,0,K240/$S240*Resource!$T49)</f>
        <v>0</v>
      </c>
      <c r="L176" s="31">
        <f>IF(Resource!$T49=0,0,L240/$S240*Resource!$T49)</f>
        <v>0</v>
      </c>
      <c r="M176" s="31">
        <f>IF(Resource!$T49=0,0,M240/$S240*Resource!$T49)</f>
        <v>0</v>
      </c>
      <c r="N176" s="31">
        <f>IF(Resource!$T49=0,0,N240/$S240*Resource!$T49)</f>
        <v>0</v>
      </c>
      <c r="O176" s="31">
        <f>IF(Resource!$T49=0,0,O240/$S240*Resource!$T49)</f>
        <v>0</v>
      </c>
      <c r="P176" s="31">
        <f>IF(Resource!$T49=0,0,P240/$S240*Resource!$T49)</f>
        <v>0</v>
      </c>
      <c r="Q176" s="31">
        <f>IF(Resource!$T49=0,0,Q240/$S240*Resource!$T49)</f>
        <v>0</v>
      </c>
      <c r="R176" s="31"/>
      <c r="S176" s="11">
        <f t="shared" si="7"/>
        <v>0</v>
      </c>
      <c r="T176" s="2">
        <f>Resource!T49</f>
        <v>0</v>
      </c>
    </row>
    <row r="177" spans="1:20">
      <c r="A177" s="146">
        <v>50</v>
      </c>
      <c r="B177" s="31"/>
      <c r="C177" s="31"/>
      <c r="D177" s="31"/>
      <c r="E177" s="31">
        <f>IF(Resource!$T50=0,0,E241/$S241*Resource!$T50)</f>
        <v>0</v>
      </c>
      <c r="F177" s="31">
        <f>IF(Resource!$T50=0,0,F241/$S241*Resource!$T50)</f>
        <v>0</v>
      </c>
      <c r="G177" s="31">
        <f>IF(Resource!$T50=0,0,G241/$S241*Resource!$T50)</f>
        <v>0</v>
      </c>
      <c r="H177" s="31">
        <f>IF(Resource!$T50=0,0,H241/$S241*Resource!$T50)</f>
        <v>0</v>
      </c>
      <c r="I177" s="31">
        <f>IF(Resource!$T50=0,0,I241/$S241*Resource!$T50)</f>
        <v>0</v>
      </c>
      <c r="J177" s="31">
        <f>IF(Resource!$T50=0,0,J241/$S241*Resource!$T50)</f>
        <v>0</v>
      </c>
      <c r="K177" s="31">
        <f>IF(Resource!$T50=0,0,K241/$S241*Resource!$T50)</f>
        <v>0</v>
      </c>
      <c r="L177" s="31">
        <f>IF(Resource!$T50=0,0,L241/$S241*Resource!$T50)</f>
        <v>0</v>
      </c>
      <c r="M177" s="31">
        <f>IF(Resource!$T50=0,0,M241/$S241*Resource!$T50)</f>
        <v>0</v>
      </c>
      <c r="N177" s="31">
        <f>IF(Resource!$T50=0,0,N241/$S241*Resource!$T50)</f>
        <v>0</v>
      </c>
      <c r="O177" s="31">
        <f>IF(Resource!$T50=0,0,O241/$S241*Resource!$T50)</f>
        <v>0</v>
      </c>
      <c r="P177" s="31">
        <f>IF(Resource!$T50=0,0,P241/$S241*Resource!$T50)</f>
        <v>0</v>
      </c>
      <c r="Q177" s="31">
        <f>IF(Resource!$T50=0,0,Q241/$S241*Resource!$T50)</f>
        <v>0</v>
      </c>
      <c r="R177" s="31"/>
      <c r="S177" s="11">
        <f t="shared" si="7"/>
        <v>0</v>
      </c>
      <c r="T177" s="2">
        <f>Resource!T50</f>
        <v>0</v>
      </c>
    </row>
    <row r="178" spans="1:20">
      <c r="A178" s="146">
        <v>45</v>
      </c>
      <c r="B178" s="31"/>
      <c r="C178" s="31"/>
      <c r="D178" s="31"/>
      <c r="E178" s="31">
        <f>IF(Resource!$T51=0,0,E242/$S242*Resource!$T51)</f>
        <v>0</v>
      </c>
      <c r="F178" s="31">
        <f>IF(Resource!$T51=0,0,F242/$S242*Resource!$T51)</f>
        <v>0</v>
      </c>
      <c r="G178" s="31">
        <f>IF(Resource!$T51=0,0,G242/$S242*Resource!$T51)</f>
        <v>0</v>
      </c>
      <c r="H178" s="31">
        <f>IF(Resource!$T51=0,0,H242/$S242*Resource!$T51)</f>
        <v>0</v>
      </c>
      <c r="I178" s="31">
        <f>IF(Resource!$T51=0,0,I242/$S242*Resource!$T51)</f>
        <v>0</v>
      </c>
      <c r="J178" s="31">
        <f>IF(Resource!$T51=0,0,J242/$S242*Resource!$T51)</f>
        <v>0</v>
      </c>
      <c r="K178" s="31">
        <f>IF(Resource!$T51=0,0,K242/$S242*Resource!$T51)</f>
        <v>0</v>
      </c>
      <c r="L178" s="31">
        <f>IF(Resource!$T51=0,0,L242/$S242*Resource!$T51)</f>
        <v>0</v>
      </c>
      <c r="M178" s="31">
        <f>IF(Resource!$T51=0,0,M242/$S242*Resource!$T51)</f>
        <v>0</v>
      </c>
      <c r="N178" s="31">
        <f>IF(Resource!$T51=0,0,N242/$S242*Resource!$T51)</f>
        <v>0</v>
      </c>
      <c r="O178" s="31">
        <f>IF(Resource!$T51=0,0,O242/$S242*Resource!$T51)</f>
        <v>0</v>
      </c>
      <c r="P178" s="31">
        <f>IF(Resource!$T51=0,0,P242/$S242*Resource!$T51)</f>
        <v>0</v>
      </c>
      <c r="Q178" s="31">
        <f>IF(Resource!$T51=0,0,Q242/$S242*Resource!$T51)</f>
        <v>0</v>
      </c>
      <c r="R178" s="31"/>
      <c r="S178" s="11">
        <f t="shared" si="7"/>
        <v>0</v>
      </c>
      <c r="T178" s="2">
        <f>Resource!T51</f>
        <v>0</v>
      </c>
    </row>
    <row r="179" spans="1:20">
      <c r="A179" s="146">
        <v>40</v>
      </c>
      <c r="B179" s="31"/>
      <c r="C179" s="31"/>
      <c r="D179" s="31"/>
      <c r="E179" s="31">
        <f>IF(Resource!$T52=0,0,E243/$S243*Resource!$T52)</f>
        <v>0</v>
      </c>
      <c r="F179" s="31">
        <f>IF(Resource!$T52=0,0,F243/$S243*Resource!$T52)</f>
        <v>0</v>
      </c>
      <c r="G179" s="31">
        <f>IF(Resource!$T52=0,0,G243/$S243*Resource!$T52)</f>
        <v>0</v>
      </c>
      <c r="H179" s="31">
        <f>IF(Resource!$T52=0,0,H243/$S243*Resource!$T52)</f>
        <v>0</v>
      </c>
      <c r="I179" s="31">
        <f>IF(Resource!$T52=0,0,I243/$S243*Resource!$T52)</f>
        <v>0</v>
      </c>
      <c r="J179" s="31">
        <f>IF(Resource!$T52=0,0,J243/$S243*Resource!$T52)</f>
        <v>0</v>
      </c>
      <c r="K179" s="31">
        <f>IF(Resource!$T52=0,0,K243/$S243*Resource!$T52)</f>
        <v>0</v>
      </c>
      <c r="L179" s="31">
        <f>IF(Resource!$T52=0,0,L243/$S243*Resource!$T52)</f>
        <v>0</v>
      </c>
      <c r="M179" s="31">
        <f>IF(Resource!$T52=0,0,M243/$S243*Resource!$T52)</f>
        <v>0</v>
      </c>
      <c r="N179" s="31">
        <f>IF(Resource!$T52=0,0,N243/$S243*Resource!$T52)</f>
        <v>0</v>
      </c>
      <c r="O179" s="31">
        <f>IF(Resource!$T52=0,0,O243/$S243*Resource!$T52)</f>
        <v>0</v>
      </c>
      <c r="P179" s="31">
        <f>IF(Resource!$T52=0,0,P243/$S243*Resource!$T52)</f>
        <v>0</v>
      </c>
      <c r="Q179" s="31">
        <f>IF(Resource!$T52=0,0,Q243/$S243*Resource!$T52)</f>
        <v>0</v>
      </c>
      <c r="R179" s="31"/>
      <c r="S179" s="11">
        <f t="shared" si="7"/>
        <v>0</v>
      </c>
      <c r="T179" s="2">
        <f>Resource!T52</f>
        <v>0</v>
      </c>
    </row>
    <row r="180" spans="1:20">
      <c r="A180" s="146">
        <v>35</v>
      </c>
      <c r="B180" s="31"/>
      <c r="C180" s="31"/>
      <c r="D180" s="31"/>
      <c r="E180" s="31">
        <f>IF(Resource!$T53=0,0,E244/$S244*Resource!$T53)</f>
        <v>0</v>
      </c>
      <c r="F180" s="31">
        <f>IF(Resource!$T53=0,0,F244/$S244*Resource!$T53)</f>
        <v>0</v>
      </c>
      <c r="G180" s="31">
        <f>IF(Resource!$T53=0,0,G244/$S244*Resource!$T53)</f>
        <v>0</v>
      </c>
      <c r="H180" s="31">
        <f>IF(Resource!$T53=0,0,H244/$S244*Resource!$T53)</f>
        <v>0</v>
      </c>
      <c r="I180" s="31">
        <f>IF(Resource!$T53=0,0,I244/$S244*Resource!$T53)</f>
        <v>0</v>
      </c>
      <c r="J180" s="31">
        <f>IF(Resource!$T53=0,0,J244/$S244*Resource!$T53)</f>
        <v>0</v>
      </c>
      <c r="K180" s="31">
        <f>IF(Resource!$T53=0,0,K244/$S244*Resource!$T53)</f>
        <v>0</v>
      </c>
      <c r="L180" s="31">
        <f>IF(Resource!$T53=0,0,L244/$S244*Resource!$T53)</f>
        <v>0</v>
      </c>
      <c r="M180" s="31">
        <f>IF(Resource!$T53=0,0,M244/$S244*Resource!$T53)</f>
        <v>0</v>
      </c>
      <c r="N180" s="31">
        <f>IF(Resource!$T53=0,0,N244/$S244*Resource!$T53)</f>
        <v>0</v>
      </c>
      <c r="O180" s="31">
        <f>IF(Resource!$T53=0,0,O244/$S244*Resource!$T53)</f>
        <v>0</v>
      </c>
      <c r="P180" s="31">
        <f>IF(Resource!$T53=0,0,P244/$S244*Resource!$T53)</f>
        <v>0</v>
      </c>
      <c r="Q180" s="31">
        <f>IF(Resource!$T53=0,0,Q244/$S244*Resource!$T53)</f>
        <v>0</v>
      </c>
      <c r="R180" s="31"/>
      <c r="S180" s="11">
        <f t="shared" si="7"/>
        <v>0</v>
      </c>
      <c r="T180" s="2">
        <f>Resource!T53</f>
        <v>0</v>
      </c>
    </row>
    <row r="181" spans="1:20">
      <c r="A181" s="146">
        <v>30</v>
      </c>
      <c r="B181" s="31"/>
      <c r="C181" s="31"/>
      <c r="D181" s="31"/>
      <c r="E181" s="31">
        <f>IF(Resource!$T54=0,0,E245/$S245*Resource!$T54)</f>
        <v>0</v>
      </c>
      <c r="F181" s="31">
        <f>IF(Resource!$T54=0,0,F245/$S245*Resource!$T54)</f>
        <v>0</v>
      </c>
      <c r="G181" s="31">
        <f>IF(Resource!$T54=0,0,G245/$S245*Resource!$T54)</f>
        <v>0</v>
      </c>
      <c r="H181" s="31">
        <f>IF(Resource!$T54=0,0,H245/$S245*Resource!$T54)</f>
        <v>0</v>
      </c>
      <c r="I181" s="31">
        <f>IF(Resource!$T54=0,0,I245/$S245*Resource!$T54)</f>
        <v>0</v>
      </c>
      <c r="J181" s="31">
        <f>IF(Resource!$T54=0,0,J245/$S245*Resource!$T54)</f>
        <v>0</v>
      </c>
      <c r="K181" s="31">
        <f>IF(Resource!$T54=0,0,K245/$S245*Resource!$T54)</f>
        <v>0</v>
      </c>
      <c r="L181" s="31">
        <f>IF(Resource!$T54=0,0,L245/$S245*Resource!$T54)</f>
        <v>0</v>
      </c>
      <c r="M181" s="31">
        <f>IF(Resource!$T54=0,0,M245/$S245*Resource!$T54)</f>
        <v>0</v>
      </c>
      <c r="N181" s="31">
        <f>IF(Resource!$T54=0,0,N245/$S245*Resource!$T54)</f>
        <v>0</v>
      </c>
      <c r="O181" s="31">
        <f>IF(Resource!$T54=0,0,O245/$S245*Resource!$T54)</f>
        <v>0</v>
      </c>
      <c r="P181" s="31">
        <f>IF(Resource!$T54=0,0,P245/$S245*Resource!$T54)</f>
        <v>0</v>
      </c>
      <c r="Q181" s="31">
        <f>IF(Resource!$T54=0,0,Q245/$S245*Resource!$T54)</f>
        <v>0</v>
      </c>
      <c r="R181" s="31"/>
      <c r="S181" s="11">
        <f t="shared" si="7"/>
        <v>0</v>
      </c>
      <c r="T181" s="2">
        <f>Resource!T54</f>
        <v>0</v>
      </c>
    </row>
    <row r="182" spans="1:20">
      <c r="A182" s="146">
        <v>25</v>
      </c>
      <c r="B182" s="31"/>
      <c r="C182" s="31"/>
      <c r="D182" s="31"/>
      <c r="E182" s="31">
        <f>IF(Resource!$T55=0,0,E246/$S246*Resource!$T55)</f>
        <v>0</v>
      </c>
      <c r="F182" s="31">
        <f>IF(Resource!$T55=0,0,F246/$S246*Resource!$T55)</f>
        <v>0</v>
      </c>
      <c r="G182" s="31">
        <f>IF(Resource!$T55=0,0,G246/$S246*Resource!$T55)</f>
        <v>0</v>
      </c>
      <c r="H182" s="31">
        <f>IF(Resource!$T55=0,0,H246/$S246*Resource!$T55)</f>
        <v>0</v>
      </c>
      <c r="I182" s="31">
        <f>IF(Resource!$T55=0,0,I246/$S246*Resource!$T55)</f>
        <v>0</v>
      </c>
      <c r="J182" s="31">
        <f>IF(Resource!$T55=0,0,J246/$S246*Resource!$T55)</f>
        <v>0</v>
      </c>
      <c r="K182" s="31">
        <f>IF(Resource!$T55=0,0,K246/$S246*Resource!$T55)</f>
        <v>0</v>
      </c>
      <c r="L182" s="31">
        <f>IF(Resource!$T55=0,0,L246/$S246*Resource!$T55)</f>
        <v>0</v>
      </c>
      <c r="M182" s="31">
        <f>IF(Resource!$T55=0,0,M246/$S246*Resource!$T55)</f>
        <v>0</v>
      </c>
      <c r="N182" s="31">
        <f>IF(Resource!$T55=0,0,N246/$S246*Resource!$T55)</f>
        <v>0</v>
      </c>
      <c r="O182" s="31">
        <f>IF(Resource!$T55=0,0,O246/$S246*Resource!$T55)</f>
        <v>0</v>
      </c>
      <c r="P182" s="31">
        <f>IF(Resource!$T55=0,0,P246/$S246*Resource!$T55)</f>
        <v>0</v>
      </c>
      <c r="Q182" s="31">
        <f>IF(Resource!$T55=0,0,Q246/$S246*Resource!$T55)</f>
        <v>0</v>
      </c>
      <c r="R182" s="31"/>
      <c r="S182" s="11">
        <f t="shared" si="7"/>
        <v>0</v>
      </c>
      <c r="T182" s="2">
        <f>Resource!T55</f>
        <v>0</v>
      </c>
    </row>
    <row r="183" spans="1:20">
      <c r="A183" s="146">
        <v>20</v>
      </c>
      <c r="B183" s="31"/>
      <c r="C183" s="31"/>
      <c r="D183" s="31"/>
      <c r="E183" s="31">
        <f>IF(Resource!$T56=0,0,E247/$S247*Resource!$T56)</f>
        <v>0</v>
      </c>
      <c r="F183" s="31">
        <f>IF(Resource!$T56=0,0,F247/$S247*Resource!$T56)</f>
        <v>0</v>
      </c>
      <c r="G183" s="31">
        <f>IF(Resource!$T56=0,0,G247/$S247*Resource!$T56)</f>
        <v>0</v>
      </c>
      <c r="H183" s="31">
        <f>IF(Resource!$T56=0,0,H247/$S247*Resource!$T56)</f>
        <v>0</v>
      </c>
      <c r="I183" s="31">
        <f>IF(Resource!$T56=0,0,I247/$S247*Resource!$T56)</f>
        <v>0</v>
      </c>
      <c r="J183" s="31">
        <f>IF(Resource!$T56=0,0,J247/$S247*Resource!$T56)</f>
        <v>0</v>
      </c>
      <c r="K183" s="31">
        <f>IF(Resource!$T56=0,0,K247/$S247*Resource!$T56)</f>
        <v>0</v>
      </c>
      <c r="L183" s="31">
        <f>IF(Resource!$T56=0,0,L247/$S247*Resource!$T56)</f>
        <v>0</v>
      </c>
      <c r="M183" s="31">
        <f>IF(Resource!$T56=0,0,M247/$S247*Resource!$T56)</f>
        <v>0</v>
      </c>
      <c r="N183" s="31">
        <f>IF(Resource!$T56=0,0,N247/$S247*Resource!$T56)</f>
        <v>0</v>
      </c>
      <c r="O183" s="31">
        <f>IF(Resource!$T56=0,0,O247/$S247*Resource!$T56)</f>
        <v>0</v>
      </c>
      <c r="P183" s="31">
        <f>IF(Resource!$T56=0,0,P247/$S247*Resource!$T56)</f>
        <v>0</v>
      </c>
      <c r="Q183" s="31">
        <f>IF(Resource!$T56=0,0,Q247/$S247*Resource!$T56)</f>
        <v>0</v>
      </c>
      <c r="R183" s="31"/>
      <c r="S183" s="11">
        <f t="shared" si="7"/>
        <v>0</v>
      </c>
      <c r="T183" s="2">
        <f>Resource!T56</f>
        <v>0</v>
      </c>
    </row>
    <row r="184" spans="1:20">
      <c r="A184" s="146">
        <v>15</v>
      </c>
      <c r="B184" s="31"/>
      <c r="C184" s="31"/>
      <c r="D184" s="31"/>
      <c r="E184" s="31">
        <f>IF(Resource!$T57=0,0,E248/$S248*Resource!$T57)</f>
        <v>0</v>
      </c>
      <c r="F184" s="31">
        <f>IF(Resource!$T57=0,0,F248/$S248*Resource!$T57)</f>
        <v>0</v>
      </c>
      <c r="G184" s="31">
        <f>IF(Resource!$T57=0,0,G248/$S248*Resource!$T57)</f>
        <v>0</v>
      </c>
      <c r="H184" s="31">
        <f>IF(Resource!$T57=0,0,H248/$S248*Resource!$T57)</f>
        <v>0</v>
      </c>
      <c r="I184" s="31">
        <f>IF(Resource!$T57=0,0,I248/$S248*Resource!$T57)</f>
        <v>0</v>
      </c>
      <c r="J184" s="31">
        <f>IF(Resource!$T57=0,0,J248/$S248*Resource!$T57)</f>
        <v>0</v>
      </c>
      <c r="K184" s="31">
        <f>IF(Resource!$T57=0,0,K248/$S248*Resource!$T57)</f>
        <v>0</v>
      </c>
      <c r="L184" s="31">
        <f>IF(Resource!$T57=0,0,L248/$S248*Resource!$T57)</f>
        <v>0</v>
      </c>
      <c r="M184" s="31">
        <f>IF(Resource!$T57=0,0,M248/$S248*Resource!$T57)</f>
        <v>0</v>
      </c>
      <c r="N184" s="31">
        <f>IF(Resource!$T57=0,0,N248/$S248*Resource!$T57)</f>
        <v>0</v>
      </c>
      <c r="O184" s="31">
        <f>IF(Resource!$T57=0,0,O248/$S248*Resource!$T57)</f>
        <v>0</v>
      </c>
      <c r="P184" s="31">
        <f>IF(Resource!$T57=0,0,P248/$S248*Resource!$T57)</f>
        <v>0</v>
      </c>
      <c r="Q184" s="31">
        <f>IF(Resource!$T57=0,0,Q248/$S248*Resource!$T57)</f>
        <v>0</v>
      </c>
      <c r="R184" s="31"/>
      <c r="S184" s="11">
        <f t="shared" si="7"/>
        <v>0</v>
      </c>
      <c r="T184" s="2">
        <f>Resource!T57</f>
        <v>0</v>
      </c>
    </row>
    <row r="185" spans="1:20">
      <c r="A185" s="146">
        <v>10</v>
      </c>
      <c r="B185" s="31"/>
      <c r="C185" s="31"/>
      <c r="D185" s="31"/>
      <c r="E185" s="31">
        <f>IF(Resource!$T58=0,0,E249/$S249*Resource!$T58)</f>
        <v>0</v>
      </c>
      <c r="F185" s="31">
        <f>IF(Resource!$T58=0,0,F249/$S249*Resource!$T58)</f>
        <v>0</v>
      </c>
      <c r="G185" s="31">
        <f>IF(Resource!$T58=0,0,G249/$S249*Resource!$T58)</f>
        <v>0</v>
      </c>
      <c r="H185" s="31">
        <f>IF(Resource!$T58=0,0,H249/$S249*Resource!$T58)</f>
        <v>0</v>
      </c>
      <c r="I185" s="31">
        <f>IF(Resource!$T58=0,0,I249/$S249*Resource!$T58)</f>
        <v>0</v>
      </c>
      <c r="J185" s="31">
        <f>IF(Resource!$T58=0,0,J249/$S249*Resource!$T58)</f>
        <v>0</v>
      </c>
      <c r="K185" s="31">
        <f>IF(Resource!$T58=0,0,K249/$S249*Resource!$T58)</f>
        <v>0</v>
      </c>
      <c r="L185" s="31">
        <f>IF(Resource!$T58=0,0,L249/$S249*Resource!$T58)</f>
        <v>0</v>
      </c>
      <c r="M185" s="31">
        <f>IF(Resource!$T58=0,0,M249/$S249*Resource!$T58)</f>
        <v>0</v>
      </c>
      <c r="N185" s="31">
        <f>IF(Resource!$T58=0,0,N249/$S249*Resource!$T58)</f>
        <v>0</v>
      </c>
      <c r="O185" s="31">
        <f>IF(Resource!$T58=0,0,O249/$S249*Resource!$T58)</f>
        <v>0</v>
      </c>
      <c r="P185" s="31">
        <f>IF(Resource!$T58=0,0,P249/$S249*Resource!$T58)</f>
        <v>0</v>
      </c>
      <c r="Q185" s="31">
        <f>IF(Resource!$T58=0,0,Q249/$S249*Resource!$T58)</f>
        <v>0</v>
      </c>
      <c r="R185" s="31"/>
      <c r="S185" s="11">
        <f t="shared" si="7"/>
        <v>0</v>
      </c>
      <c r="T185" s="2">
        <f>Resource!T58</f>
        <v>0</v>
      </c>
    </row>
    <row r="186" spans="1:20">
      <c r="A186" s="146">
        <v>5</v>
      </c>
      <c r="B186" s="31"/>
      <c r="C186" s="31"/>
      <c r="D186" s="31"/>
      <c r="E186" s="31">
        <f>IF(Resource!$T59=0,0,E250/$S250*Resource!$T59)</f>
        <v>0</v>
      </c>
      <c r="F186" s="31">
        <f>IF(Resource!$T59=0,0,F250/$S250*Resource!$T59)</f>
        <v>0</v>
      </c>
      <c r="G186" s="31">
        <f>IF(Resource!$T59=0,0,G250/$S250*Resource!$T59)</f>
        <v>0</v>
      </c>
      <c r="H186" s="31">
        <f>IF(Resource!$T59=0,0,H250/$S250*Resource!$T59)</f>
        <v>0</v>
      </c>
      <c r="I186" s="31">
        <f>IF(Resource!$T59=0,0,I250/$S250*Resource!$T59)</f>
        <v>0</v>
      </c>
      <c r="J186" s="31">
        <f>IF(Resource!$T59=0,0,J250/$S250*Resource!$T59)</f>
        <v>0</v>
      </c>
      <c r="K186" s="31">
        <f>IF(Resource!$T59=0,0,K250/$S250*Resource!$T59)</f>
        <v>0</v>
      </c>
      <c r="L186" s="31">
        <f>IF(Resource!$T59=0,0,L250/$S250*Resource!$T59)</f>
        <v>0</v>
      </c>
      <c r="M186" s="31">
        <f>IF(Resource!$T59=0,0,M250/$S250*Resource!$T59)</f>
        <v>0</v>
      </c>
      <c r="N186" s="31">
        <f>IF(Resource!$T59=0,0,N250/$S250*Resource!$T59)</f>
        <v>0</v>
      </c>
      <c r="O186" s="31">
        <f>IF(Resource!$T59=0,0,O250/$S250*Resource!$T59)</f>
        <v>0</v>
      </c>
      <c r="P186" s="31">
        <f>IF(Resource!$T59=0,0,P250/$S250*Resource!$T59)</f>
        <v>0</v>
      </c>
      <c r="Q186" s="31">
        <f>IF(Resource!$T59=0,0,Q250/$S250*Resource!$T59)</f>
        <v>0</v>
      </c>
      <c r="R186" s="31"/>
      <c r="S186" s="11">
        <f t="shared" si="7"/>
        <v>0</v>
      </c>
      <c r="T186" s="2">
        <f>Resource!T59</f>
        <v>0</v>
      </c>
    </row>
    <row r="187" spans="1:20">
      <c r="A187" s="146">
        <v>0</v>
      </c>
      <c r="B187" s="31"/>
      <c r="C187" s="31"/>
      <c r="D187" s="31"/>
      <c r="E187" s="31">
        <f>IF(Resource!$T60=0,0,E251/$S251*Resource!$T60)</f>
        <v>0</v>
      </c>
      <c r="F187" s="31">
        <f>IF(Resource!$T60=0,0,F251/$S251*Resource!$T60)</f>
        <v>0</v>
      </c>
      <c r="G187" s="31">
        <f>IF(Resource!$T60=0,0,G251/$S251*Resource!$T60)</f>
        <v>0</v>
      </c>
      <c r="H187" s="31">
        <f>IF(Resource!$T60=0,0,H251/$S251*Resource!$T60)</f>
        <v>0</v>
      </c>
      <c r="I187" s="31">
        <f>IF(Resource!$T60=0,0,I251/$S251*Resource!$T60)</f>
        <v>0</v>
      </c>
      <c r="J187" s="31">
        <f>IF(Resource!$T60=0,0,J251/$S251*Resource!$T60)</f>
        <v>0</v>
      </c>
      <c r="K187" s="31">
        <f>IF(Resource!$T60=0,0,K251/$S251*Resource!$T60)</f>
        <v>0</v>
      </c>
      <c r="L187" s="31">
        <f>IF(Resource!$T60=0,0,L251/$S251*Resource!$T60)</f>
        <v>0</v>
      </c>
      <c r="M187" s="31">
        <f>IF(Resource!$T60=0,0,M251/$S251*Resource!$T60)</f>
        <v>0</v>
      </c>
      <c r="N187" s="31">
        <f>IF(Resource!$T60=0,0,N251/$S251*Resource!$T60)</f>
        <v>0</v>
      </c>
      <c r="O187" s="31">
        <f>IF(Resource!$T60=0,0,O251/$S251*Resource!$T60)</f>
        <v>0</v>
      </c>
      <c r="P187" s="31">
        <f>IF(Resource!$T60=0,0,P251/$S251*Resource!$T60)</f>
        <v>0</v>
      </c>
      <c r="Q187" s="31">
        <f>IF(Resource!$T60=0,0,Q251/$S251*Resource!$T60)</f>
        <v>0</v>
      </c>
      <c r="R187" s="31"/>
      <c r="S187" s="11">
        <f t="shared" si="7"/>
        <v>0</v>
      </c>
      <c r="T187" s="2">
        <f>Resource!T60</f>
        <v>0</v>
      </c>
    </row>
    <row r="188" spans="1:20">
      <c r="A188" s="39" t="s">
        <v>5</v>
      </c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11"/>
      <c r="T188" s="2"/>
    </row>
    <row r="189" spans="1:20">
      <c r="A189" s="5" t="s">
        <v>295</v>
      </c>
      <c r="B189" s="91">
        <f>SUM(B137:B187)</f>
        <v>0</v>
      </c>
      <c r="C189" s="91">
        <f t="shared" ref="C189:Q189" si="8">SUM(C137:C187)</f>
        <v>0</v>
      </c>
      <c r="D189" s="91">
        <f t="shared" si="8"/>
        <v>9000</v>
      </c>
      <c r="E189" s="91">
        <f t="shared" si="8"/>
        <v>88537.345377623758</v>
      </c>
      <c r="F189" s="91">
        <f t="shared" si="8"/>
        <v>40815.933934457862</v>
      </c>
      <c r="G189" s="91">
        <f t="shared" si="8"/>
        <v>14413.997506648329</v>
      </c>
      <c r="H189" s="91">
        <f t="shared" si="8"/>
        <v>28110.714876523951</v>
      </c>
      <c r="I189" s="91">
        <f t="shared" si="8"/>
        <v>28349.122758769019</v>
      </c>
      <c r="J189" s="91">
        <f t="shared" si="8"/>
        <v>28522.011413845881</v>
      </c>
      <c r="K189" s="91">
        <f t="shared" si="8"/>
        <v>29056.537029011633</v>
      </c>
      <c r="L189" s="91">
        <f t="shared" si="8"/>
        <v>28388.92002948538</v>
      </c>
      <c r="M189" s="91">
        <f t="shared" si="8"/>
        <v>20957.692369220633</v>
      </c>
      <c r="N189" s="91">
        <f t="shared" si="8"/>
        <v>45971.449659821999</v>
      </c>
      <c r="O189" s="91">
        <f t="shared" si="8"/>
        <v>31751.84230893651</v>
      </c>
      <c r="P189" s="91">
        <f t="shared" si="8"/>
        <v>33624.432735655035</v>
      </c>
      <c r="Q189" s="91">
        <f t="shared" si="8"/>
        <v>0</v>
      </c>
      <c r="R189" s="91"/>
      <c r="S189" s="92">
        <f>SUM(B189:R189)</f>
        <v>427500</v>
      </c>
      <c r="T189" s="2">
        <f>Resource!T63</f>
        <v>427500</v>
      </c>
    </row>
    <row r="190" spans="1:20">
      <c r="A190" s="8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8"/>
    </row>
    <row r="191" spans="1:20">
      <c r="T191" s="2"/>
    </row>
    <row r="193" spans="1:20">
      <c r="A193" s="13" t="s">
        <v>0</v>
      </c>
      <c r="B193" s="77"/>
      <c r="C193" s="77"/>
      <c r="D193" s="7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</row>
    <row r="194" spans="1:20">
      <c r="A194" s="16" t="str">
        <f>Title!$F$10</f>
        <v>ARTHUR RIVER MAGNESITE PROJECT</v>
      </c>
      <c r="B194" s="78"/>
      <c r="C194" s="78"/>
      <c r="D194" s="78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</row>
    <row r="195" spans="1:20">
      <c r="A195" s="16" t="str">
        <f>Title!$F$12</f>
        <v>ORDER OF MAGNITUDE COST STUDY: CALCINE PRODUCTION ONLY</v>
      </c>
      <c r="B195" s="78"/>
      <c r="C195" s="78"/>
      <c r="D195" s="78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</row>
    <row r="196" spans="1:20">
      <c r="A196" s="19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 t="str">
        <f>Title!$F$19</f>
        <v>3 October 2011</v>
      </c>
      <c r="S196" s="18"/>
    </row>
    <row r="197" spans="1:20">
      <c r="A197" s="20" t="s">
        <v>287</v>
      </c>
      <c r="B197" s="79"/>
      <c r="C197" s="79"/>
      <c r="D197" s="79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</row>
    <row r="198" spans="1:20">
      <c r="A198" s="46"/>
      <c r="B198" s="41" t="s">
        <v>26</v>
      </c>
      <c r="C198" s="41" t="s">
        <v>26</v>
      </c>
      <c r="D198" s="41" t="s">
        <v>26</v>
      </c>
      <c r="E198" s="41" t="s">
        <v>26</v>
      </c>
      <c r="F198" s="41" t="s">
        <v>26</v>
      </c>
      <c r="G198" s="41" t="s">
        <v>26</v>
      </c>
      <c r="H198" s="41" t="s">
        <v>26</v>
      </c>
      <c r="I198" s="41" t="s">
        <v>26</v>
      </c>
      <c r="J198" s="41" t="s">
        <v>26</v>
      </c>
      <c r="K198" s="41" t="s">
        <v>26</v>
      </c>
      <c r="L198" s="41" t="s">
        <v>26</v>
      </c>
      <c r="M198" s="41" t="s">
        <v>26</v>
      </c>
      <c r="N198" s="41" t="s">
        <v>26</v>
      </c>
      <c r="O198" s="41" t="s">
        <v>26</v>
      </c>
      <c r="P198" s="41" t="s">
        <v>26</v>
      </c>
      <c r="Q198" s="41" t="s">
        <v>26</v>
      </c>
      <c r="R198" s="41"/>
      <c r="S198" s="42" t="s">
        <v>5</v>
      </c>
      <c r="T198" s="174" t="s">
        <v>32</v>
      </c>
    </row>
    <row r="199" spans="1:20">
      <c r="A199" s="8"/>
      <c r="B199" s="43">
        <v>-3</v>
      </c>
      <c r="C199" s="43">
        <v>-2</v>
      </c>
      <c r="D199" s="43">
        <v>-1</v>
      </c>
      <c r="E199" s="43">
        <v>1</v>
      </c>
      <c r="F199" s="43">
        <v>2</v>
      </c>
      <c r="G199" s="43">
        <v>3</v>
      </c>
      <c r="H199" s="43">
        <v>4</v>
      </c>
      <c r="I199" s="43">
        <v>5</v>
      </c>
      <c r="J199" s="43">
        <v>6</v>
      </c>
      <c r="K199" s="43">
        <v>7</v>
      </c>
      <c r="L199" s="43">
        <v>8</v>
      </c>
      <c r="M199" s="43">
        <v>9</v>
      </c>
      <c r="N199" s="43">
        <v>10</v>
      </c>
      <c r="O199" s="43">
        <v>11</v>
      </c>
      <c r="P199" s="43">
        <v>12</v>
      </c>
      <c r="Q199" s="43">
        <v>13</v>
      </c>
      <c r="R199" s="43"/>
      <c r="S199" s="47"/>
    </row>
    <row r="200" spans="1:20">
      <c r="A200" s="39" t="s">
        <v>178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6"/>
    </row>
    <row r="201" spans="1:20">
      <c r="A201" s="139">
        <v>195</v>
      </c>
      <c r="B201" s="31"/>
      <c r="C201" s="31"/>
      <c r="D201" s="31"/>
      <c r="E201" s="31">
        <f>IF(Resource!$L10=0,0,E265*Resource!$K10/Resource!$L10)</f>
        <v>0</v>
      </c>
      <c r="F201" s="31">
        <f>IF(Resource!$L10=0,0,F265*Resource!$K10/Resource!$L10)</f>
        <v>0</v>
      </c>
      <c r="G201" s="31">
        <f>IF(Resource!$L10=0,0,G265*Resource!$K10/Resource!$L10)</f>
        <v>0</v>
      </c>
      <c r="H201" s="31">
        <f>IF(Resource!$L10=0,0,H265*Resource!$K10/Resource!$L10)</f>
        <v>0</v>
      </c>
      <c r="I201" s="31">
        <f>IF(Resource!$L10=0,0,I265*Resource!$K10/Resource!$L10)</f>
        <v>0</v>
      </c>
      <c r="J201" s="31">
        <f>IF(Resource!$L10=0,0,J265*Resource!$K10/Resource!$L10)</f>
        <v>0</v>
      </c>
      <c r="K201" s="31">
        <f>IF(Resource!$L10=0,0,K265*Resource!$K10/Resource!$L10)</f>
        <v>0</v>
      </c>
      <c r="L201" s="31">
        <f>IF(Resource!$L10=0,0,L265*Resource!$K10/Resource!$L10)</f>
        <v>0</v>
      </c>
      <c r="M201" s="31">
        <f>IF(Resource!$L10=0,0,M265*Resource!$K10/Resource!$L10)</f>
        <v>0</v>
      </c>
      <c r="N201" s="31">
        <f>IF(Resource!$L10=0,0,N265*Resource!$K10/Resource!$L10)</f>
        <v>0</v>
      </c>
      <c r="O201" s="31">
        <f>IF(Resource!$L10=0,0,O265*Resource!$K10/Resource!$L10)</f>
        <v>0</v>
      </c>
      <c r="P201" s="31">
        <f>IF(Resource!$L10=0,0,P265*Resource!$K10/Resource!$L10)</f>
        <v>0</v>
      </c>
      <c r="Q201" s="31">
        <f>IF(Resource!$L10=0,0,Q265*Resource!$K10/Resource!$L10)</f>
        <v>0</v>
      </c>
      <c r="R201" s="31"/>
      <c r="S201" s="11">
        <f t="shared" ref="S201:S218" si="9">SUM(B201:R201)</f>
        <v>0</v>
      </c>
      <c r="T201" s="2">
        <f>Resource!K10</f>
        <v>0</v>
      </c>
    </row>
    <row r="202" spans="1:20">
      <c r="A202" s="141">
        <v>190</v>
      </c>
      <c r="B202" s="31"/>
      <c r="C202" s="31"/>
      <c r="D202" s="31"/>
      <c r="E202" s="31">
        <f>IF(Resource!$L11=0,0,E266*Resource!$K11/Resource!$L11)</f>
        <v>0</v>
      </c>
      <c r="F202" s="31">
        <f>IF(Resource!$L11=0,0,F266*Resource!$K11/Resource!$L11)</f>
        <v>0</v>
      </c>
      <c r="G202" s="31">
        <f>IF(Resource!$L11=0,0,G266*Resource!$K11/Resource!$L11)</f>
        <v>0</v>
      </c>
      <c r="H202" s="31">
        <f>IF(Resource!$L11=0,0,H266*Resource!$K11/Resource!$L11)</f>
        <v>0</v>
      </c>
      <c r="I202" s="31">
        <f>IF(Resource!$L11=0,0,I266*Resource!$K11/Resource!$L11)</f>
        <v>0</v>
      </c>
      <c r="J202" s="31">
        <f>IF(Resource!$L11=0,0,J266*Resource!$K11/Resource!$L11)</f>
        <v>0</v>
      </c>
      <c r="K202" s="31">
        <f>IF(Resource!$L11=0,0,K266*Resource!$K11/Resource!$L11)</f>
        <v>0</v>
      </c>
      <c r="L202" s="31">
        <f>IF(Resource!$L11=0,0,L266*Resource!$K11/Resource!$L11)</f>
        <v>0</v>
      </c>
      <c r="M202" s="31">
        <f>IF(Resource!$L11=0,0,M266*Resource!$K11/Resource!$L11)</f>
        <v>0</v>
      </c>
      <c r="N202" s="31">
        <f>IF(Resource!$L11=0,0,N266*Resource!$K11/Resource!$L11)</f>
        <v>0</v>
      </c>
      <c r="O202" s="31">
        <f>IF(Resource!$L11=0,0,O266*Resource!$K11/Resource!$L11)</f>
        <v>0</v>
      </c>
      <c r="P202" s="31">
        <f>IF(Resource!$L11=0,0,P266*Resource!$K11/Resource!$L11)</f>
        <v>0</v>
      </c>
      <c r="Q202" s="31">
        <f>IF(Resource!$L11=0,0,Q266*Resource!$K11/Resource!$L11)</f>
        <v>0</v>
      </c>
      <c r="R202" s="31"/>
      <c r="S202" s="11">
        <f t="shared" si="9"/>
        <v>0</v>
      </c>
      <c r="T202" s="2">
        <f>Resource!K11</f>
        <v>0</v>
      </c>
    </row>
    <row r="203" spans="1:20">
      <c r="A203" s="141">
        <v>185</v>
      </c>
      <c r="B203" s="31"/>
      <c r="C203" s="31"/>
      <c r="D203" s="31"/>
      <c r="E203" s="31">
        <f>IF(Resource!$L12=0,0,E267*Resource!$K12/Resource!$L12)</f>
        <v>0</v>
      </c>
      <c r="F203" s="31">
        <f>IF(Resource!$L12=0,0,F267*Resource!$K12/Resource!$L12)</f>
        <v>0</v>
      </c>
      <c r="G203" s="31">
        <f>IF(Resource!$L12=0,0,G267*Resource!$K12/Resource!$L12)</f>
        <v>0</v>
      </c>
      <c r="H203" s="31">
        <f>IF(Resource!$L12=0,0,H267*Resource!$K12/Resource!$L12)</f>
        <v>0</v>
      </c>
      <c r="I203" s="31">
        <f>IF(Resource!$L12=0,0,I267*Resource!$K12/Resource!$L12)</f>
        <v>0</v>
      </c>
      <c r="J203" s="31">
        <f>IF(Resource!$L12=0,0,J267*Resource!$K12/Resource!$L12)</f>
        <v>0</v>
      </c>
      <c r="K203" s="31">
        <f>IF(Resource!$L12=0,0,K267*Resource!$K12/Resource!$L12)</f>
        <v>0</v>
      </c>
      <c r="L203" s="31">
        <f>IF(Resource!$L12=0,0,L267*Resource!$K12/Resource!$L12)</f>
        <v>0</v>
      </c>
      <c r="M203" s="31">
        <f>IF(Resource!$L12=0,0,M267*Resource!$K12/Resource!$L12)</f>
        <v>0</v>
      </c>
      <c r="N203" s="31">
        <f>IF(Resource!$L12=0,0,N267*Resource!$K12/Resource!$L12)</f>
        <v>0</v>
      </c>
      <c r="O203" s="31">
        <f>IF(Resource!$L12=0,0,O267*Resource!$K12/Resource!$L12)</f>
        <v>0</v>
      </c>
      <c r="P203" s="31">
        <f>IF(Resource!$L12=0,0,P267*Resource!$K12/Resource!$L12)</f>
        <v>0</v>
      </c>
      <c r="Q203" s="31">
        <f>IF(Resource!$L12=0,0,Q267*Resource!$K12/Resource!$L12)</f>
        <v>0</v>
      </c>
      <c r="R203" s="31"/>
      <c r="S203" s="11">
        <f t="shared" si="9"/>
        <v>0</v>
      </c>
      <c r="T203" s="2">
        <f>Resource!K12</f>
        <v>0</v>
      </c>
    </row>
    <row r="204" spans="1:20">
      <c r="A204" s="141">
        <v>180</v>
      </c>
      <c r="B204" s="31"/>
      <c r="C204" s="31"/>
      <c r="D204" s="31"/>
      <c r="E204" s="31">
        <f>IF(Resource!$L13=0,0,E268*Resource!$K13/Resource!$L13)</f>
        <v>0</v>
      </c>
      <c r="F204" s="31">
        <f>IF(Resource!$L13=0,0,F268*Resource!$K13/Resource!$L13)</f>
        <v>0</v>
      </c>
      <c r="G204" s="31">
        <f>IF(Resource!$L13=0,0,G268*Resource!$K13/Resource!$L13)</f>
        <v>0</v>
      </c>
      <c r="H204" s="31">
        <f>IF(Resource!$L13=0,0,H268*Resource!$K13/Resource!$L13)</f>
        <v>0</v>
      </c>
      <c r="I204" s="31">
        <f>IF(Resource!$L13=0,0,I268*Resource!$K13/Resource!$L13)</f>
        <v>0</v>
      </c>
      <c r="J204" s="31">
        <f>IF(Resource!$L13=0,0,J268*Resource!$K13/Resource!$L13)</f>
        <v>0</v>
      </c>
      <c r="K204" s="31">
        <f>IF(Resource!$L13=0,0,K268*Resource!$K13/Resource!$L13)</f>
        <v>0</v>
      </c>
      <c r="L204" s="31">
        <f>IF(Resource!$L13=0,0,L268*Resource!$K13/Resource!$L13)</f>
        <v>0</v>
      </c>
      <c r="M204" s="31">
        <f>IF(Resource!$L13=0,0,M268*Resource!$K13/Resource!$L13)</f>
        <v>0</v>
      </c>
      <c r="N204" s="31">
        <f>IF(Resource!$L13=0,0,N268*Resource!$K13/Resource!$L13)</f>
        <v>0</v>
      </c>
      <c r="O204" s="31">
        <f>IF(Resource!$L13=0,0,O268*Resource!$K13/Resource!$L13)</f>
        <v>0</v>
      </c>
      <c r="P204" s="31">
        <f>IF(Resource!$L13=0,0,P268*Resource!$K13/Resource!$L13)</f>
        <v>0</v>
      </c>
      <c r="Q204" s="31">
        <f>IF(Resource!$L13=0,0,Q268*Resource!$K13/Resource!$L13)</f>
        <v>0</v>
      </c>
      <c r="R204" s="31"/>
      <c r="S204" s="11">
        <f t="shared" si="9"/>
        <v>0</v>
      </c>
      <c r="T204" s="2">
        <f>Resource!K13</f>
        <v>0</v>
      </c>
    </row>
    <row r="205" spans="1:20">
      <c r="A205" s="141">
        <v>175</v>
      </c>
      <c r="B205" s="31"/>
      <c r="C205" s="31"/>
      <c r="D205" s="31"/>
      <c r="E205" s="31">
        <f>IF(Resource!$L14=0,0,E269*Resource!$K14/Resource!$L14)</f>
        <v>0</v>
      </c>
      <c r="F205" s="31">
        <f>IF(Resource!$L14=0,0,F269*Resource!$K14/Resource!$L14)</f>
        <v>0</v>
      </c>
      <c r="G205" s="31">
        <f>IF(Resource!$L14=0,0,G269*Resource!$K14/Resource!$L14)</f>
        <v>0</v>
      </c>
      <c r="H205" s="31">
        <f>IF(Resource!$L14=0,0,H269*Resource!$K14/Resource!$L14)</f>
        <v>0</v>
      </c>
      <c r="I205" s="31">
        <f>IF(Resource!$L14=0,0,I269*Resource!$K14/Resource!$L14)</f>
        <v>0</v>
      </c>
      <c r="J205" s="31">
        <f>IF(Resource!$L14=0,0,J269*Resource!$K14/Resource!$L14)</f>
        <v>0</v>
      </c>
      <c r="K205" s="31">
        <f>IF(Resource!$L14=0,0,K269*Resource!$K14/Resource!$L14)</f>
        <v>0</v>
      </c>
      <c r="L205" s="31">
        <f>IF(Resource!$L14=0,0,L269*Resource!$K14/Resource!$L14)</f>
        <v>0</v>
      </c>
      <c r="M205" s="31">
        <f>IF(Resource!$L14=0,0,M269*Resource!$K14/Resource!$L14)</f>
        <v>0</v>
      </c>
      <c r="N205" s="31">
        <f>IF(Resource!$L14=0,0,N269*Resource!$K14/Resource!$L14)</f>
        <v>0</v>
      </c>
      <c r="O205" s="31">
        <f>IF(Resource!$L14=0,0,O269*Resource!$K14/Resource!$L14)</f>
        <v>0</v>
      </c>
      <c r="P205" s="31">
        <f>IF(Resource!$L14=0,0,P269*Resource!$K14/Resource!$L14)</f>
        <v>0</v>
      </c>
      <c r="Q205" s="31">
        <f>IF(Resource!$L14=0,0,Q269*Resource!$K14/Resource!$L14)</f>
        <v>0</v>
      </c>
      <c r="R205" s="31"/>
      <c r="S205" s="11">
        <f t="shared" si="9"/>
        <v>0</v>
      </c>
      <c r="T205" s="2">
        <f>Resource!K14</f>
        <v>0</v>
      </c>
    </row>
    <row r="206" spans="1:20">
      <c r="A206" s="141">
        <v>170</v>
      </c>
      <c r="B206" s="31"/>
      <c r="C206" s="31"/>
      <c r="D206" s="31"/>
      <c r="E206" s="31">
        <f>IF(Resource!$L15=0,0,E270*Resource!$K15/Resource!$L15)</f>
        <v>0</v>
      </c>
      <c r="F206" s="31">
        <f>IF(Resource!$L15=0,0,F270*Resource!$K15/Resource!$L15)</f>
        <v>0</v>
      </c>
      <c r="G206" s="31">
        <f>IF(Resource!$L15=0,0,G270*Resource!$K15/Resource!$L15)</f>
        <v>0</v>
      </c>
      <c r="H206" s="31">
        <f>IF(Resource!$L15=0,0,H270*Resource!$K15/Resource!$L15)</f>
        <v>0</v>
      </c>
      <c r="I206" s="31">
        <f>IF(Resource!$L15=0,0,I270*Resource!$K15/Resource!$L15)</f>
        <v>0</v>
      </c>
      <c r="J206" s="31">
        <f>IF(Resource!$L15=0,0,J270*Resource!$K15/Resource!$L15)</f>
        <v>0</v>
      </c>
      <c r="K206" s="31">
        <f>IF(Resource!$L15=0,0,K270*Resource!$K15/Resource!$L15)</f>
        <v>0</v>
      </c>
      <c r="L206" s="31">
        <f>IF(Resource!$L15=0,0,L270*Resource!$K15/Resource!$L15)</f>
        <v>0</v>
      </c>
      <c r="M206" s="31">
        <f>IF(Resource!$L15=0,0,M270*Resource!$K15/Resource!$L15)</f>
        <v>0</v>
      </c>
      <c r="N206" s="31">
        <f>IF(Resource!$L15=0,0,N270*Resource!$K15/Resource!$L15)</f>
        <v>0</v>
      </c>
      <c r="O206" s="31">
        <f>IF(Resource!$L15=0,0,O270*Resource!$K15/Resource!$L15)</f>
        <v>0</v>
      </c>
      <c r="P206" s="31">
        <f>IF(Resource!$L15=0,0,P270*Resource!$K15/Resource!$L15)</f>
        <v>0</v>
      </c>
      <c r="Q206" s="31">
        <f>IF(Resource!$L15=0,0,Q270*Resource!$K15/Resource!$L15)</f>
        <v>0</v>
      </c>
      <c r="R206" s="31"/>
      <c r="S206" s="11">
        <f t="shared" si="9"/>
        <v>0</v>
      </c>
      <c r="T206" s="2">
        <f>Resource!K15</f>
        <v>0</v>
      </c>
    </row>
    <row r="207" spans="1:20">
      <c r="A207" s="146">
        <v>165</v>
      </c>
      <c r="B207" s="31"/>
      <c r="C207" s="31"/>
      <c r="D207" s="31"/>
      <c r="E207" s="31">
        <f>IF(Resource!$L16=0,0,E271*Resource!$K16/Resource!$L16)</f>
        <v>0</v>
      </c>
      <c r="F207" s="31">
        <f>IF(Resource!$L16=0,0,F271*Resource!$K16/Resource!$L16)</f>
        <v>0</v>
      </c>
      <c r="G207" s="31">
        <f>IF(Resource!$L16=0,0,G271*Resource!$K16/Resource!$L16)</f>
        <v>0</v>
      </c>
      <c r="H207" s="31">
        <f>IF(Resource!$L16=0,0,H271*Resource!$K16/Resource!$L16)</f>
        <v>0</v>
      </c>
      <c r="I207" s="31">
        <f>IF(Resource!$L16=0,0,I271*Resource!$K16/Resource!$L16)</f>
        <v>0</v>
      </c>
      <c r="J207" s="31">
        <f>IF(Resource!$L16=0,0,J271*Resource!$K16/Resource!$L16)</f>
        <v>0</v>
      </c>
      <c r="K207" s="31">
        <f>IF(Resource!$L16=0,0,K271*Resource!$K16/Resource!$L16)</f>
        <v>0</v>
      </c>
      <c r="L207" s="31">
        <f>IF(Resource!$L16=0,0,L271*Resource!$K16/Resource!$L16)</f>
        <v>0</v>
      </c>
      <c r="M207" s="31">
        <f>IF(Resource!$L16=0,0,M271*Resource!$K16/Resource!$L16)</f>
        <v>0</v>
      </c>
      <c r="N207" s="31">
        <f>IF(Resource!$L16=0,0,N271*Resource!$K16/Resource!$L16)</f>
        <v>0</v>
      </c>
      <c r="O207" s="31">
        <f>IF(Resource!$L16=0,0,O271*Resource!$K16/Resource!$L16)</f>
        <v>0</v>
      </c>
      <c r="P207" s="31">
        <f>IF(Resource!$L16=0,0,P271*Resource!$K16/Resource!$L16)</f>
        <v>0</v>
      </c>
      <c r="Q207" s="31">
        <f>IF(Resource!$L16=0,0,Q271*Resource!$K16/Resource!$L16)</f>
        <v>0</v>
      </c>
      <c r="R207" s="31"/>
      <c r="S207" s="11">
        <f t="shared" si="9"/>
        <v>0</v>
      </c>
      <c r="T207" s="2">
        <f>Resource!K16</f>
        <v>0</v>
      </c>
    </row>
    <row r="208" spans="1:20">
      <c r="A208" s="146">
        <v>160</v>
      </c>
      <c r="B208" s="31"/>
      <c r="C208" s="31"/>
      <c r="D208" s="31"/>
      <c r="E208" s="31">
        <f>IF(Resource!$L17=0,0,E272*Resource!$K17/Resource!$L17)</f>
        <v>0</v>
      </c>
      <c r="F208" s="31">
        <f>IF(Resource!$L17=0,0,F272*Resource!$K17/Resource!$L17)</f>
        <v>0</v>
      </c>
      <c r="G208" s="31">
        <f>IF(Resource!$L17=0,0,G272*Resource!$K17/Resource!$L17)</f>
        <v>0</v>
      </c>
      <c r="H208" s="31">
        <f>IF(Resource!$L17=0,0,H272*Resource!$K17/Resource!$L17)</f>
        <v>0</v>
      </c>
      <c r="I208" s="31">
        <f>IF(Resource!$L17=0,0,I272*Resource!$K17/Resource!$L17)</f>
        <v>0</v>
      </c>
      <c r="J208" s="31">
        <f>IF(Resource!$L17=0,0,J272*Resource!$K17/Resource!$L17)</f>
        <v>0</v>
      </c>
      <c r="K208" s="31">
        <f>IF(Resource!$L17=0,0,K272*Resource!$K17/Resource!$L17)</f>
        <v>0</v>
      </c>
      <c r="L208" s="31">
        <f>IF(Resource!$L17=0,0,L272*Resource!$K17/Resource!$L17)</f>
        <v>0</v>
      </c>
      <c r="M208" s="31">
        <f>IF(Resource!$L17=0,0,M272*Resource!$K17/Resource!$L17)</f>
        <v>0</v>
      </c>
      <c r="N208" s="31">
        <f>IF(Resource!$L17=0,0,N272*Resource!$K17/Resource!$L17)</f>
        <v>0</v>
      </c>
      <c r="O208" s="31">
        <f>IF(Resource!$L17=0,0,O272*Resource!$K17/Resource!$L17)</f>
        <v>0</v>
      </c>
      <c r="P208" s="31">
        <f>IF(Resource!$L17=0,0,P272*Resource!$K17/Resource!$L17)</f>
        <v>0</v>
      </c>
      <c r="Q208" s="31">
        <f>IF(Resource!$L17=0,0,Q272*Resource!$K17/Resource!$L17)</f>
        <v>0</v>
      </c>
      <c r="R208" s="31"/>
      <c r="S208" s="11">
        <f t="shared" si="9"/>
        <v>0</v>
      </c>
      <c r="T208" s="2">
        <f>Resource!K17</f>
        <v>0</v>
      </c>
    </row>
    <row r="209" spans="1:20">
      <c r="A209" s="146">
        <v>155</v>
      </c>
      <c r="B209" s="31"/>
      <c r="C209" s="31"/>
      <c r="D209" s="31"/>
      <c r="E209" s="31">
        <f>IF(Resource!$L18=0,0,E273*Resource!$K18/Resource!$L18)</f>
        <v>21375</v>
      </c>
      <c r="F209" s="31">
        <f>IF(Resource!$L18=0,0,F273*Resource!$K18/Resource!$L18)</f>
        <v>0</v>
      </c>
      <c r="G209" s="31">
        <f>IF(Resource!$L18=0,0,G273*Resource!$K18/Resource!$L18)</f>
        <v>0</v>
      </c>
      <c r="H209" s="31">
        <f>IF(Resource!$L18=0,0,H273*Resource!$K18/Resource!$L18)</f>
        <v>0</v>
      </c>
      <c r="I209" s="31">
        <f>IF(Resource!$L18=0,0,I273*Resource!$K18/Resource!$L18)</f>
        <v>0</v>
      </c>
      <c r="J209" s="31">
        <f>IF(Resource!$L18=0,0,J273*Resource!$K18/Resource!$L18)</f>
        <v>0</v>
      </c>
      <c r="K209" s="31">
        <f>IF(Resource!$L18=0,0,K273*Resource!$K18/Resource!$L18)</f>
        <v>0</v>
      </c>
      <c r="L209" s="31">
        <f>IF(Resource!$L18=0,0,L273*Resource!$K18/Resource!$L18)</f>
        <v>0</v>
      </c>
      <c r="M209" s="31">
        <f>IF(Resource!$L18=0,0,M273*Resource!$K18/Resource!$L18)</f>
        <v>0</v>
      </c>
      <c r="N209" s="31">
        <f>IF(Resource!$L18=0,0,N273*Resource!$K18/Resource!$L18)</f>
        <v>0</v>
      </c>
      <c r="O209" s="31">
        <f>IF(Resource!$L18=0,0,O273*Resource!$K18/Resource!$L18)</f>
        <v>0</v>
      </c>
      <c r="P209" s="31">
        <f>IF(Resource!$L18=0,0,P273*Resource!$K18/Resource!$L18)</f>
        <v>0</v>
      </c>
      <c r="Q209" s="31">
        <f>IF(Resource!$L18=0,0,Q273*Resource!$K18/Resource!$L18)</f>
        <v>0</v>
      </c>
      <c r="R209" s="31"/>
      <c r="S209" s="11">
        <f t="shared" si="9"/>
        <v>21375</v>
      </c>
      <c r="T209" s="2">
        <f>Resource!K18</f>
        <v>21375</v>
      </c>
    </row>
    <row r="210" spans="1:20">
      <c r="A210" s="146">
        <v>150</v>
      </c>
      <c r="B210" s="31"/>
      <c r="C210" s="31"/>
      <c r="D210" s="31"/>
      <c r="E210" s="31">
        <f>IF(Resource!$L19=0,0,E274*Resource!$K19/Resource!$L19)</f>
        <v>33250</v>
      </c>
      <c r="F210" s="31">
        <f>IF(Resource!$L19=0,0,F274*Resource!$K19/Resource!$L19)</f>
        <v>0</v>
      </c>
      <c r="G210" s="31">
        <f>IF(Resource!$L19=0,0,G274*Resource!$K19/Resource!$L19)</f>
        <v>0</v>
      </c>
      <c r="H210" s="31">
        <f>IF(Resource!$L19=0,0,H274*Resource!$K19/Resource!$L19)</f>
        <v>0</v>
      </c>
      <c r="I210" s="31">
        <f>IF(Resource!$L19=0,0,I274*Resource!$K19/Resource!$L19)</f>
        <v>0</v>
      </c>
      <c r="J210" s="31">
        <f>IF(Resource!$L19=0,0,J274*Resource!$K19/Resource!$L19)</f>
        <v>0</v>
      </c>
      <c r="K210" s="31">
        <f>IF(Resource!$L19=0,0,K274*Resource!$K19/Resource!$L19)</f>
        <v>0</v>
      </c>
      <c r="L210" s="31">
        <f>IF(Resource!$L19=0,0,L274*Resource!$K19/Resource!$L19)</f>
        <v>0</v>
      </c>
      <c r="M210" s="31">
        <f>IF(Resource!$L19=0,0,M274*Resource!$K19/Resource!$L19)</f>
        <v>0</v>
      </c>
      <c r="N210" s="31">
        <f>IF(Resource!$L19=0,0,N274*Resource!$K19/Resource!$L19)</f>
        <v>0</v>
      </c>
      <c r="O210" s="31">
        <f>IF(Resource!$L19=0,0,O274*Resource!$K19/Resource!$L19)</f>
        <v>0</v>
      </c>
      <c r="P210" s="31">
        <f>IF(Resource!$L19=0,0,P274*Resource!$K19/Resource!$L19)</f>
        <v>0</v>
      </c>
      <c r="Q210" s="31">
        <f>IF(Resource!$L19=0,0,Q274*Resource!$K19/Resource!$L19)</f>
        <v>0</v>
      </c>
      <c r="R210" s="31"/>
      <c r="S210" s="11">
        <f t="shared" si="9"/>
        <v>33250</v>
      </c>
      <c r="T210" s="2">
        <f>Resource!K19</f>
        <v>33250</v>
      </c>
    </row>
    <row r="211" spans="1:20">
      <c r="A211" s="146">
        <v>145</v>
      </c>
      <c r="B211" s="31"/>
      <c r="C211" s="31"/>
      <c r="D211" s="31"/>
      <c r="E211" s="31">
        <f>IF(Resource!$L20=0,0,E275*Resource!$K20/Resource!$L20)</f>
        <v>28570.956217485153</v>
      </c>
      <c r="F211" s="31">
        <f>IF(Resource!$L20=0,0,F275*Resource!$K20/Resource!$L20)</f>
        <v>20829.043782514851</v>
      </c>
      <c r="G211" s="31">
        <f>IF(Resource!$L20=0,0,G275*Resource!$K20/Resource!$L20)</f>
        <v>0</v>
      </c>
      <c r="H211" s="31">
        <f>IF(Resource!$L20=0,0,H275*Resource!$K20/Resource!$L20)</f>
        <v>0</v>
      </c>
      <c r="I211" s="31">
        <f>IF(Resource!$L20=0,0,I275*Resource!$K20/Resource!$L20)</f>
        <v>0</v>
      </c>
      <c r="J211" s="31">
        <f>IF(Resource!$L20=0,0,J275*Resource!$K20/Resource!$L20)</f>
        <v>0</v>
      </c>
      <c r="K211" s="31">
        <f>IF(Resource!$L20=0,0,K275*Resource!$K20/Resource!$L20)</f>
        <v>0</v>
      </c>
      <c r="L211" s="31">
        <f>IF(Resource!$L20=0,0,L275*Resource!$K20/Resource!$L20)</f>
        <v>0</v>
      </c>
      <c r="M211" s="31">
        <f>IF(Resource!$L20=0,0,M275*Resource!$K20/Resource!$L20)</f>
        <v>0</v>
      </c>
      <c r="N211" s="31">
        <f>IF(Resource!$L20=0,0,N275*Resource!$K20/Resource!$L20)</f>
        <v>0</v>
      </c>
      <c r="O211" s="31">
        <f>IF(Resource!$L20=0,0,O275*Resource!$K20/Resource!$L20)</f>
        <v>0</v>
      </c>
      <c r="P211" s="31">
        <f>IF(Resource!$L20=0,0,P275*Resource!$K20/Resource!$L20)</f>
        <v>0</v>
      </c>
      <c r="Q211" s="31">
        <f>IF(Resource!$L20=0,0,Q275*Resource!$K20/Resource!$L20)</f>
        <v>0</v>
      </c>
      <c r="R211" s="31"/>
      <c r="S211" s="11">
        <f t="shared" si="9"/>
        <v>49400</v>
      </c>
      <c r="T211" s="2">
        <f>Resource!K20</f>
        <v>49400</v>
      </c>
    </row>
    <row r="212" spans="1:20">
      <c r="A212" s="146">
        <v>140</v>
      </c>
      <c r="B212" s="31"/>
      <c r="C212" s="31"/>
      <c r="D212" s="31"/>
      <c r="E212" s="31">
        <f>IF(Resource!$L21=0,0,E276*Resource!$K21/Resource!$L21)</f>
        <v>0</v>
      </c>
      <c r="F212" s="31">
        <f>IF(Resource!$L21=0,0,F276*Resource!$K21/Resource!$L21)</f>
        <v>45600</v>
      </c>
      <c r="G212" s="31">
        <f>IF(Resource!$L21=0,0,G276*Resource!$K21/Resource!$L21)</f>
        <v>0</v>
      </c>
      <c r="H212" s="31">
        <f>IF(Resource!$L21=0,0,H276*Resource!$K21/Resource!$L21)</f>
        <v>0</v>
      </c>
      <c r="I212" s="31">
        <f>IF(Resource!$L21=0,0,I276*Resource!$K21/Resource!$L21)</f>
        <v>0</v>
      </c>
      <c r="J212" s="31">
        <f>IF(Resource!$L21=0,0,J276*Resource!$K21/Resource!$L21)</f>
        <v>0</v>
      </c>
      <c r="K212" s="31">
        <f>IF(Resource!$L21=0,0,K276*Resource!$K21/Resource!$L21)</f>
        <v>0</v>
      </c>
      <c r="L212" s="31">
        <f>IF(Resource!$L21=0,0,L276*Resource!$K21/Resource!$L21)</f>
        <v>0</v>
      </c>
      <c r="M212" s="31">
        <f>IF(Resource!$L21=0,0,M276*Resource!$K21/Resource!$L21)</f>
        <v>0</v>
      </c>
      <c r="N212" s="31">
        <f>IF(Resource!$L21=0,0,N276*Resource!$K21/Resource!$L21)</f>
        <v>0</v>
      </c>
      <c r="O212" s="31">
        <f>IF(Resource!$L21=0,0,O276*Resource!$K21/Resource!$L21)</f>
        <v>0</v>
      </c>
      <c r="P212" s="31">
        <f>IF(Resource!$L21=0,0,P276*Resource!$K21/Resource!$L21)</f>
        <v>0</v>
      </c>
      <c r="Q212" s="31">
        <f>IF(Resource!$L21=0,0,Q276*Resource!$K21/Resource!$L21)</f>
        <v>0</v>
      </c>
      <c r="R212" s="31"/>
      <c r="S212" s="11">
        <f t="shared" si="9"/>
        <v>45600</v>
      </c>
      <c r="T212" s="2">
        <f>Resource!K21</f>
        <v>45600</v>
      </c>
    </row>
    <row r="213" spans="1:20">
      <c r="A213" s="146">
        <v>135</v>
      </c>
      <c r="B213" s="31"/>
      <c r="C213" s="31"/>
      <c r="D213" s="31"/>
      <c r="E213" s="31">
        <f>IF(Resource!$L22=0,0,E277*Resource!$K22/Resource!$L22)</f>
        <v>0</v>
      </c>
      <c r="F213" s="31">
        <f>IF(Resource!$L22=0,0,F277*Resource!$K22/Resource!$L22)</f>
        <v>41800</v>
      </c>
      <c r="G213" s="31">
        <f>IF(Resource!$L22=0,0,G277*Resource!$K22/Resource!$L22)</f>
        <v>0</v>
      </c>
      <c r="H213" s="31">
        <f>IF(Resource!$L22=0,0,H277*Resource!$K22/Resource!$L22)</f>
        <v>0</v>
      </c>
      <c r="I213" s="31">
        <f>IF(Resource!$L22=0,0,I277*Resource!$K22/Resource!$L22)</f>
        <v>0</v>
      </c>
      <c r="J213" s="31">
        <f>IF(Resource!$L22=0,0,J277*Resource!$K22/Resource!$L22)</f>
        <v>0</v>
      </c>
      <c r="K213" s="31">
        <f>IF(Resource!$L22=0,0,K277*Resource!$K22/Resource!$L22)</f>
        <v>0</v>
      </c>
      <c r="L213" s="31">
        <f>IF(Resource!$L22=0,0,L277*Resource!$K22/Resource!$L22)</f>
        <v>0</v>
      </c>
      <c r="M213" s="31">
        <f>IF(Resource!$L22=0,0,M277*Resource!$K22/Resource!$L22)</f>
        <v>0</v>
      </c>
      <c r="N213" s="31">
        <f>IF(Resource!$L22=0,0,N277*Resource!$K22/Resource!$L22)</f>
        <v>0</v>
      </c>
      <c r="O213" s="31">
        <f>IF(Resource!$L22=0,0,O277*Resource!$K22/Resource!$L22)</f>
        <v>0</v>
      </c>
      <c r="P213" s="31">
        <f>IF(Resource!$L22=0,0,P277*Resource!$K22/Resource!$L22)</f>
        <v>0</v>
      </c>
      <c r="Q213" s="31">
        <f>IF(Resource!$L22=0,0,Q277*Resource!$K22/Resource!$L22)</f>
        <v>0</v>
      </c>
      <c r="R213" s="31"/>
      <c r="S213" s="11">
        <f t="shared" si="9"/>
        <v>41800</v>
      </c>
      <c r="T213" s="2">
        <f>Resource!K22</f>
        <v>41800</v>
      </c>
    </row>
    <row r="214" spans="1:20">
      <c r="A214" s="146">
        <v>130</v>
      </c>
      <c r="B214" s="31"/>
      <c r="C214" s="31"/>
      <c r="D214" s="31"/>
      <c r="E214" s="31">
        <f>IF(Resource!$L23=0,0,E278*Resource!$K23/Resource!$L23)</f>
        <v>0</v>
      </c>
      <c r="F214" s="31">
        <f>IF(Resource!$L23=0,0,F278*Resource!$K23/Resource!$L23)</f>
        <v>6484.9227718203811</v>
      </c>
      <c r="G214" s="31">
        <f>IF(Resource!$L23=0,0,G278*Resource!$K23/Resource!$L23)</f>
        <v>31515.077228179623</v>
      </c>
      <c r="H214" s="31">
        <f>IF(Resource!$L23=0,0,H278*Resource!$K23/Resource!$L23)</f>
        <v>0</v>
      </c>
      <c r="I214" s="31">
        <f>IF(Resource!$L23=0,0,I278*Resource!$K23/Resource!$L23)</f>
        <v>0</v>
      </c>
      <c r="J214" s="31">
        <f>IF(Resource!$L23=0,0,J278*Resource!$K23/Resource!$L23)</f>
        <v>0</v>
      </c>
      <c r="K214" s="31">
        <f>IF(Resource!$L23=0,0,K278*Resource!$K23/Resource!$L23)</f>
        <v>0</v>
      </c>
      <c r="L214" s="31">
        <f>IF(Resource!$L23=0,0,L278*Resource!$K23/Resource!$L23)</f>
        <v>0</v>
      </c>
      <c r="M214" s="31">
        <f>IF(Resource!$L23=0,0,M278*Resource!$K23/Resource!$L23)</f>
        <v>0</v>
      </c>
      <c r="N214" s="31">
        <f>IF(Resource!$L23=0,0,N278*Resource!$K23/Resource!$L23)</f>
        <v>0</v>
      </c>
      <c r="O214" s="31">
        <f>IF(Resource!$L23=0,0,O278*Resource!$K23/Resource!$L23)</f>
        <v>0</v>
      </c>
      <c r="P214" s="31">
        <f>IF(Resource!$L23=0,0,P278*Resource!$K23/Resource!$L23)</f>
        <v>0</v>
      </c>
      <c r="Q214" s="31">
        <f>IF(Resource!$L23=0,0,Q278*Resource!$K23/Resource!$L23)</f>
        <v>0</v>
      </c>
      <c r="R214" s="31"/>
      <c r="S214" s="11">
        <f t="shared" si="9"/>
        <v>38000.000000000007</v>
      </c>
      <c r="T214" s="2">
        <f>Resource!K23</f>
        <v>38000</v>
      </c>
    </row>
    <row r="215" spans="1:20">
      <c r="A215" s="146">
        <v>125</v>
      </c>
      <c r="B215" s="31"/>
      <c r="C215" s="31"/>
      <c r="D215" s="31"/>
      <c r="E215" s="31">
        <f>IF(Resource!$L24=0,0,E279*Resource!$K24/Resource!$L24)</f>
        <v>0</v>
      </c>
      <c r="F215" s="31">
        <f>IF(Resource!$L24=0,0,F279*Resource!$K24/Resource!$L24)</f>
        <v>0</v>
      </c>
      <c r="G215" s="31">
        <f>IF(Resource!$L24=0,0,G279*Resource!$K24/Resource!$L24)</f>
        <v>34200</v>
      </c>
      <c r="H215" s="31">
        <f>IF(Resource!$L24=0,0,H279*Resource!$K24/Resource!$L24)</f>
        <v>0</v>
      </c>
      <c r="I215" s="31">
        <f>IF(Resource!$L24=0,0,I279*Resource!$K24/Resource!$L24)</f>
        <v>0</v>
      </c>
      <c r="J215" s="31">
        <f>IF(Resource!$L24=0,0,J279*Resource!$K24/Resource!$L24)</f>
        <v>0</v>
      </c>
      <c r="K215" s="31">
        <f>IF(Resource!$L24=0,0,K279*Resource!$K24/Resource!$L24)</f>
        <v>0</v>
      </c>
      <c r="L215" s="31">
        <f>IF(Resource!$L24=0,0,L279*Resource!$K24/Resource!$L24)</f>
        <v>0</v>
      </c>
      <c r="M215" s="31">
        <f>IF(Resource!$L24=0,0,M279*Resource!$K24/Resource!$L24)</f>
        <v>0</v>
      </c>
      <c r="N215" s="31">
        <f>IF(Resource!$L24=0,0,N279*Resource!$K24/Resource!$L24)</f>
        <v>0</v>
      </c>
      <c r="O215" s="31">
        <f>IF(Resource!$L24=0,0,O279*Resource!$K24/Resource!$L24)</f>
        <v>0</v>
      </c>
      <c r="P215" s="31">
        <f>IF(Resource!$L24=0,0,P279*Resource!$K24/Resource!$L24)</f>
        <v>0</v>
      </c>
      <c r="Q215" s="31">
        <f>IF(Resource!$L24=0,0,Q279*Resource!$K24/Resource!$L24)</f>
        <v>0</v>
      </c>
      <c r="R215" s="31"/>
      <c r="S215" s="11">
        <f t="shared" si="9"/>
        <v>34200</v>
      </c>
      <c r="T215" s="2">
        <f>Resource!K24</f>
        <v>34200</v>
      </c>
    </row>
    <row r="216" spans="1:20">
      <c r="A216" s="146">
        <v>120</v>
      </c>
      <c r="B216" s="31"/>
      <c r="C216" s="31"/>
      <c r="D216" s="31"/>
      <c r="E216" s="31">
        <f>IF(Resource!$L25=0,0,E280*Resource!$K25/Resource!$L25)</f>
        <v>0</v>
      </c>
      <c r="F216" s="31">
        <f>IF(Resource!$L25=0,0,F280*Resource!$K25/Resource!$L25)</f>
        <v>0</v>
      </c>
      <c r="G216" s="31">
        <f>IF(Resource!$L25=0,0,G280*Resource!$K25/Resource!$L25)</f>
        <v>0</v>
      </c>
      <c r="H216" s="31">
        <f>IF(Resource!$L25=0,0,H280*Resource!$K25/Resource!$L25)</f>
        <v>0</v>
      </c>
      <c r="I216" s="31">
        <f>IF(Resource!$L25=0,0,I280*Resource!$K25/Resource!$L25)</f>
        <v>0</v>
      </c>
      <c r="J216" s="31">
        <f>IF(Resource!$L25=0,0,J280*Resource!$K25/Resource!$L25)</f>
        <v>0</v>
      </c>
      <c r="K216" s="31">
        <f>IF(Resource!$L25=0,0,K280*Resource!$K25/Resource!$L25)</f>
        <v>0</v>
      </c>
      <c r="L216" s="31">
        <f>IF(Resource!$L25=0,0,L280*Resource!$K25/Resource!$L25)</f>
        <v>0</v>
      </c>
      <c r="M216" s="31">
        <f>IF(Resource!$L25=0,0,M280*Resource!$K25/Resource!$L25)</f>
        <v>0</v>
      </c>
      <c r="N216" s="31">
        <f>IF(Resource!$L25=0,0,N280*Resource!$K25/Resource!$L25)</f>
        <v>0</v>
      </c>
      <c r="O216" s="31">
        <f>IF(Resource!$L25=0,0,O280*Resource!$K25/Resource!$L25)</f>
        <v>0</v>
      </c>
      <c r="P216" s="31">
        <f>IF(Resource!$L25=0,0,P280*Resource!$K25/Resource!$L25)</f>
        <v>0</v>
      </c>
      <c r="Q216" s="31">
        <f>IF(Resource!$L25=0,0,Q280*Resource!$K25/Resource!$L25)</f>
        <v>0</v>
      </c>
      <c r="R216" s="31"/>
      <c r="S216" s="11">
        <f t="shared" si="9"/>
        <v>0</v>
      </c>
      <c r="T216" s="2">
        <f>Resource!K25</f>
        <v>0</v>
      </c>
    </row>
    <row r="217" spans="1:20">
      <c r="A217" s="146">
        <v>115</v>
      </c>
      <c r="B217" s="31"/>
      <c r="C217" s="31"/>
      <c r="D217" s="31"/>
      <c r="E217" s="31">
        <f>IF(Resource!$L26=0,0,E281*Resource!$K26/Resource!$L26)</f>
        <v>0</v>
      </c>
      <c r="F217" s="31">
        <f>IF(Resource!$L26=0,0,F281*Resource!$K26/Resource!$L26)</f>
        <v>0</v>
      </c>
      <c r="G217" s="31">
        <f>IF(Resource!$L26=0,0,G281*Resource!$K26/Resource!$L26)</f>
        <v>0</v>
      </c>
      <c r="H217" s="31">
        <f>IF(Resource!$L26=0,0,H281*Resource!$K26/Resource!$L26)</f>
        <v>0</v>
      </c>
      <c r="I217" s="31">
        <f>IF(Resource!$L26=0,0,I281*Resource!$K26/Resource!$L26)</f>
        <v>0</v>
      </c>
      <c r="J217" s="31">
        <f>IF(Resource!$L26=0,0,J281*Resource!$K26/Resource!$L26)</f>
        <v>0</v>
      </c>
      <c r="K217" s="31">
        <f>IF(Resource!$L26=0,0,K281*Resource!$K26/Resource!$L26)</f>
        <v>0</v>
      </c>
      <c r="L217" s="31">
        <f>IF(Resource!$L26=0,0,L281*Resource!$K26/Resource!$L26)</f>
        <v>0</v>
      </c>
      <c r="M217" s="31">
        <f>IF(Resource!$L26=0,0,M281*Resource!$K26/Resource!$L26)</f>
        <v>0</v>
      </c>
      <c r="N217" s="31">
        <f>IF(Resource!$L26=0,0,N281*Resource!$K26/Resource!$L26)</f>
        <v>0</v>
      </c>
      <c r="O217" s="31">
        <f>IF(Resource!$L26=0,0,O281*Resource!$K26/Resource!$L26)</f>
        <v>0</v>
      </c>
      <c r="P217" s="31">
        <f>IF(Resource!$L26=0,0,P281*Resource!$K26/Resource!$L26)</f>
        <v>0</v>
      </c>
      <c r="Q217" s="31">
        <f>IF(Resource!$L26=0,0,Q281*Resource!$K26/Resource!$L26)</f>
        <v>0</v>
      </c>
      <c r="R217" s="31"/>
      <c r="S217" s="11">
        <f t="shared" si="9"/>
        <v>0</v>
      </c>
      <c r="T217" s="2">
        <f>Resource!K26</f>
        <v>0</v>
      </c>
    </row>
    <row r="218" spans="1:20">
      <c r="A218" s="146">
        <v>110</v>
      </c>
      <c r="B218" s="31"/>
      <c r="C218" s="31"/>
      <c r="D218" s="31"/>
      <c r="E218" s="31">
        <f>IF(Resource!$L27=0,0,E282*Resource!$K27/Resource!$L27)</f>
        <v>0</v>
      </c>
      <c r="F218" s="31">
        <f>IF(Resource!$L27=0,0,F282*Resource!$K27/Resource!$L27)</f>
        <v>0</v>
      </c>
      <c r="G218" s="31">
        <f>IF(Resource!$L27=0,0,G282*Resource!$K27/Resource!$L27)</f>
        <v>0</v>
      </c>
      <c r="H218" s="31">
        <f>IF(Resource!$L27=0,0,H282*Resource!$K27/Resource!$L27)</f>
        <v>0</v>
      </c>
      <c r="I218" s="31">
        <f>IF(Resource!$L27=0,0,I282*Resource!$K27/Resource!$L27)</f>
        <v>0</v>
      </c>
      <c r="J218" s="31">
        <f>IF(Resource!$L27=0,0,J282*Resource!$K27/Resource!$L27)</f>
        <v>0</v>
      </c>
      <c r="K218" s="31">
        <f>IF(Resource!$L27=0,0,K282*Resource!$K27/Resource!$L27)</f>
        <v>0</v>
      </c>
      <c r="L218" s="31">
        <f>IF(Resource!$L27=0,0,L282*Resource!$K27/Resource!$L27)</f>
        <v>0</v>
      </c>
      <c r="M218" s="31">
        <f>IF(Resource!$L27=0,0,M282*Resource!$K27/Resource!$L27)</f>
        <v>0</v>
      </c>
      <c r="N218" s="31">
        <f>IF(Resource!$L27=0,0,N282*Resource!$K27/Resource!$L27)</f>
        <v>0</v>
      </c>
      <c r="O218" s="31">
        <f>IF(Resource!$L27=0,0,O282*Resource!$K27/Resource!$L27)</f>
        <v>0</v>
      </c>
      <c r="P218" s="31">
        <f>IF(Resource!$L27=0,0,P282*Resource!$K27/Resource!$L27)</f>
        <v>0</v>
      </c>
      <c r="Q218" s="31">
        <f>IF(Resource!$L27=0,0,Q282*Resource!$K27/Resource!$L27)</f>
        <v>0</v>
      </c>
      <c r="R218" s="31"/>
      <c r="S218" s="11">
        <f t="shared" si="9"/>
        <v>0</v>
      </c>
      <c r="T218" s="2">
        <f>Resource!K27</f>
        <v>0</v>
      </c>
    </row>
    <row r="219" spans="1:20">
      <c r="A219" s="112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11"/>
    </row>
    <row r="220" spans="1:20">
      <c r="A220" s="39" t="s">
        <v>179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11"/>
    </row>
    <row r="221" spans="1:20">
      <c r="A221" s="146">
        <v>150</v>
      </c>
      <c r="B221" s="31"/>
      <c r="C221" s="31"/>
      <c r="D221" s="31"/>
      <c r="E221" s="31">
        <f>IF(Resource!$L30=0,0,E285*Resource!$K30/Resource!$L30)</f>
        <v>0</v>
      </c>
      <c r="F221" s="31">
        <f>IF(Resource!$L30=0,0,F285*Resource!$K30/Resource!$L30)</f>
        <v>0</v>
      </c>
      <c r="G221" s="31">
        <f>IF(Resource!$L30=0,0,G285*Resource!$K30/Resource!$L30)</f>
        <v>0</v>
      </c>
      <c r="H221" s="31">
        <f>IF(Resource!$L30=0,0,H285*Resource!$K30/Resource!$L30)</f>
        <v>0</v>
      </c>
      <c r="I221" s="31">
        <f>IF(Resource!$L30=0,0,I285*Resource!$K30/Resource!$L30)</f>
        <v>0</v>
      </c>
      <c r="J221" s="31">
        <f>IF(Resource!$L30=0,0,J285*Resource!$K30/Resource!$L30)</f>
        <v>0</v>
      </c>
      <c r="K221" s="31">
        <f>IF(Resource!$L30=0,0,K285*Resource!$K30/Resource!$L30)</f>
        <v>0</v>
      </c>
      <c r="L221" s="31">
        <f>IF(Resource!$L30=0,0,L285*Resource!$K30/Resource!$L30)</f>
        <v>0</v>
      </c>
      <c r="M221" s="31">
        <f>IF(Resource!$L30=0,0,M285*Resource!$K30/Resource!$L30)</f>
        <v>0</v>
      </c>
      <c r="N221" s="31">
        <f>IF(Resource!$L30=0,0,N285*Resource!$K30/Resource!$L30)</f>
        <v>0</v>
      </c>
      <c r="O221" s="31">
        <f>IF(Resource!$L30=0,0,O285*Resource!$K30/Resource!$L30)</f>
        <v>0</v>
      </c>
      <c r="P221" s="31">
        <f>IF(Resource!$L30=0,0,P285*Resource!$K30/Resource!$L30)</f>
        <v>0</v>
      </c>
      <c r="Q221" s="31">
        <f>IF(Resource!$L30=0,0,Q285*Resource!$K30/Resource!$L30)</f>
        <v>0</v>
      </c>
      <c r="R221" s="31"/>
      <c r="S221" s="11">
        <f t="shared" ref="S221:S251" si="10">SUM(B221:R221)</f>
        <v>0</v>
      </c>
      <c r="T221" s="2">
        <f>Resource!K30</f>
        <v>0</v>
      </c>
    </row>
    <row r="222" spans="1:20">
      <c r="A222" s="146">
        <v>145</v>
      </c>
      <c r="B222" s="31"/>
      <c r="C222" s="31"/>
      <c r="D222" s="31"/>
      <c r="E222" s="31">
        <f>IF(Resource!$L31=0,0,E286*Resource!$K31/Resource!$L31)</f>
        <v>0</v>
      </c>
      <c r="F222" s="31">
        <f>IF(Resource!$L31=0,0,F286*Resource!$K31/Resource!$L31)</f>
        <v>0</v>
      </c>
      <c r="G222" s="31">
        <f>IF(Resource!$L31=0,0,G286*Resource!$K31/Resource!$L31)</f>
        <v>0</v>
      </c>
      <c r="H222" s="31">
        <f>IF(Resource!$L31=0,0,H286*Resource!$K31/Resource!$L31)</f>
        <v>0</v>
      </c>
      <c r="I222" s="31">
        <f>IF(Resource!$L31=0,0,I286*Resource!$K31/Resource!$L31)</f>
        <v>0</v>
      </c>
      <c r="J222" s="31">
        <f>IF(Resource!$L31=0,0,J286*Resource!$K31/Resource!$L31)</f>
        <v>0</v>
      </c>
      <c r="K222" s="31">
        <f>IF(Resource!$L31=0,0,K286*Resource!$K31/Resource!$L31)</f>
        <v>0</v>
      </c>
      <c r="L222" s="31">
        <f>IF(Resource!$L31=0,0,L286*Resource!$K31/Resource!$L31)</f>
        <v>0</v>
      </c>
      <c r="M222" s="31">
        <f>IF(Resource!$L31=0,0,M286*Resource!$K31/Resource!$L31)</f>
        <v>0</v>
      </c>
      <c r="N222" s="31">
        <f>IF(Resource!$L31=0,0,N286*Resource!$K31/Resource!$L31)</f>
        <v>0</v>
      </c>
      <c r="O222" s="31">
        <f>IF(Resource!$L31=0,0,O286*Resource!$K31/Resource!$L31)</f>
        <v>0</v>
      </c>
      <c r="P222" s="31">
        <f>IF(Resource!$L31=0,0,P286*Resource!$K31/Resource!$L31)</f>
        <v>0</v>
      </c>
      <c r="Q222" s="31">
        <f>IF(Resource!$L31=0,0,Q286*Resource!$K31/Resource!$L31)</f>
        <v>0</v>
      </c>
      <c r="R222" s="31"/>
      <c r="S222" s="11">
        <f t="shared" si="10"/>
        <v>0</v>
      </c>
      <c r="T222" s="2">
        <f>Resource!K31</f>
        <v>0</v>
      </c>
    </row>
    <row r="223" spans="1:20">
      <c r="A223" s="146">
        <v>140</v>
      </c>
      <c r="B223" s="31"/>
      <c r="C223" s="31"/>
      <c r="D223" s="31"/>
      <c r="E223" s="31">
        <f>IF(Resource!$L32=0,0,E287*Resource!$K32/Resource!$L32)</f>
        <v>0</v>
      </c>
      <c r="F223" s="31">
        <f>IF(Resource!$L32=0,0,F287*Resource!$K32/Resource!$L32)</f>
        <v>0</v>
      </c>
      <c r="G223" s="31">
        <f>IF(Resource!$L32=0,0,G287*Resource!$K32/Resource!$L32)</f>
        <v>0</v>
      </c>
      <c r="H223" s="31">
        <f>IF(Resource!$L32=0,0,H287*Resource!$K32/Resource!$L32)</f>
        <v>0</v>
      </c>
      <c r="I223" s="31">
        <f>IF(Resource!$L32=0,0,I287*Resource!$K32/Resource!$L32)</f>
        <v>0</v>
      </c>
      <c r="J223" s="31">
        <f>IF(Resource!$L32=0,0,J287*Resource!$K32/Resource!$L32)</f>
        <v>0</v>
      </c>
      <c r="K223" s="31">
        <f>IF(Resource!$L32=0,0,K287*Resource!$K32/Resource!$L32)</f>
        <v>0</v>
      </c>
      <c r="L223" s="31">
        <f>IF(Resource!$L32=0,0,L287*Resource!$K32/Resource!$L32)</f>
        <v>0</v>
      </c>
      <c r="M223" s="31">
        <f>IF(Resource!$L32=0,0,M287*Resource!$K32/Resource!$L32)</f>
        <v>0</v>
      </c>
      <c r="N223" s="31">
        <f>IF(Resource!$L32=0,0,N287*Resource!$K32/Resource!$L32)</f>
        <v>0</v>
      </c>
      <c r="O223" s="31">
        <f>IF(Resource!$L32=0,0,O287*Resource!$K32/Resource!$L32)</f>
        <v>0</v>
      </c>
      <c r="P223" s="31">
        <f>IF(Resource!$L32=0,0,P287*Resource!$K32/Resource!$L32)</f>
        <v>0</v>
      </c>
      <c r="Q223" s="31">
        <f>IF(Resource!$L32=0,0,Q287*Resource!$K32/Resource!$L32)</f>
        <v>0</v>
      </c>
      <c r="R223" s="31"/>
      <c r="S223" s="11">
        <f t="shared" si="10"/>
        <v>0</v>
      </c>
      <c r="T223" s="2">
        <f>Resource!K32</f>
        <v>0</v>
      </c>
    </row>
    <row r="224" spans="1:20">
      <c r="A224" s="146">
        <v>135</v>
      </c>
      <c r="B224" s="31"/>
      <c r="C224" s="31"/>
      <c r="D224" s="31"/>
      <c r="E224" s="31">
        <f>IF(Resource!$L33=0,0,E288*Resource!$K33/Resource!$L33)</f>
        <v>0</v>
      </c>
      <c r="F224" s="31">
        <f>IF(Resource!$L33=0,0,F288*Resource!$K33/Resource!$L33)</f>
        <v>0</v>
      </c>
      <c r="G224" s="31">
        <f>IF(Resource!$L33=0,0,G288*Resource!$K33/Resource!$L33)</f>
        <v>0</v>
      </c>
      <c r="H224" s="31">
        <f>IF(Resource!$L33=0,0,H288*Resource!$K33/Resource!$L33)</f>
        <v>0</v>
      </c>
      <c r="I224" s="31">
        <f>IF(Resource!$L33=0,0,I288*Resource!$K33/Resource!$L33)</f>
        <v>0</v>
      </c>
      <c r="J224" s="31">
        <f>IF(Resource!$L33=0,0,J288*Resource!$K33/Resource!$L33)</f>
        <v>0</v>
      </c>
      <c r="K224" s="31">
        <f>IF(Resource!$L33=0,0,K288*Resource!$K33/Resource!$L33)</f>
        <v>0</v>
      </c>
      <c r="L224" s="31">
        <f>IF(Resource!$L33=0,0,L288*Resource!$K33/Resource!$L33)</f>
        <v>0</v>
      </c>
      <c r="M224" s="31">
        <f>IF(Resource!$L33=0,0,M288*Resource!$K33/Resource!$L33)</f>
        <v>0</v>
      </c>
      <c r="N224" s="31">
        <f>IF(Resource!$L33=0,0,N288*Resource!$K33/Resource!$L33)</f>
        <v>0</v>
      </c>
      <c r="O224" s="31">
        <f>IF(Resource!$L33=0,0,O288*Resource!$K33/Resource!$L33)</f>
        <v>0</v>
      </c>
      <c r="P224" s="31">
        <f>IF(Resource!$L33=0,0,P288*Resource!$K33/Resource!$L33)</f>
        <v>0</v>
      </c>
      <c r="Q224" s="31">
        <f>IF(Resource!$L33=0,0,Q288*Resource!$K33/Resource!$L33)</f>
        <v>0</v>
      </c>
      <c r="R224" s="31"/>
      <c r="S224" s="11">
        <f t="shared" si="10"/>
        <v>0</v>
      </c>
      <c r="T224" s="2">
        <f>Resource!K33</f>
        <v>0</v>
      </c>
    </row>
    <row r="225" spans="1:20">
      <c r="A225" s="146">
        <v>130</v>
      </c>
      <c r="B225" s="31"/>
      <c r="C225" s="31"/>
      <c r="D225" s="31"/>
      <c r="E225" s="31">
        <f>IF(Resource!$L34=0,0,E289*Resource!$K34/Resource!$L34)</f>
        <v>0</v>
      </c>
      <c r="F225" s="31">
        <f>IF(Resource!$L34=0,0,F289*Resource!$K34/Resource!$L34)</f>
        <v>0</v>
      </c>
      <c r="G225" s="31">
        <f>IF(Resource!$L34=0,0,G289*Resource!$K34/Resource!$L34)</f>
        <v>0</v>
      </c>
      <c r="H225" s="31">
        <f>IF(Resource!$L34=0,0,H289*Resource!$K34/Resource!$L34)</f>
        <v>0</v>
      </c>
      <c r="I225" s="31">
        <f>IF(Resource!$L34=0,0,I289*Resource!$K34/Resource!$L34)</f>
        <v>0</v>
      </c>
      <c r="J225" s="31">
        <f>IF(Resource!$L34=0,0,J289*Resource!$K34/Resource!$L34)</f>
        <v>0</v>
      </c>
      <c r="K225" s="31">
        <f>IF(Resource!$L34=0,0,K289*Resource!$K34/Resource!$L34)</f>
        <v>0</v>
      </c>
      <c r="L225" s="31">
        <f>IF(Resource!$L34=0,0,L289*Resource!$K34/Resource!$L34)</f>
        <v>0</v>
      </c>
      <c r="M225" s="31">
        <f>IF(Resource!$L34=0,0,M289*Resource!$K34/Resource!$L34)</f>
        <v>0</v>
      </c>
      <c r="N225" s="31">
        <f>IF(Resource!$L34=0,0,N289*Resource!$K34/Resource!$L34)</f>
        <v>0</v>
      </c>
      <c r="O225" s="31">
        <f>IF(Resource!$L34=0,0,O289*Resource!$K34/Resource!$L34)</f>
        <v>0</v>
      </c>
      <c r="P225" s="31">
        <f>IF(Resource!$L34=0,0,P289*Resource!$K34/Resource!$L34)</f>
        <v>0</v>
      </c>
      <c r="Q225" s="31">
        <f>IF(Resource!$L34=0,0,Q289*Resource!$K34/Resource!$L34)</f>
        <v>0</v>
      </c>
      <c r="R225" s="31"/>
      <c r="S225" s="11">
        <f t="shared" si="10"/>
        <v>0</v>
      </c>
      <c r="T225" s="2">
        <f>Resource!K34</f>
        <v>0</v>
      </c>
    </row>
    <row r="226" spans="1:20">
      <c r="A226" s="146">
        <v>125</v>
      </c>
      <c r="B226" s="31"/>
      <c r="C226" s="31"/>
      <c r="D226" s="31"/>
      <c r="E226" s="31">
        <f>IF(Resource!$L35=0,0,E290*Resource!$K35/Resource!$L35)</f>
        <v>0</v>
      </c>
      <c r="F226" s="31">
        <f>IF(Resource!$L35=0,0,F290*Resource!$K35/Resource!$L35)</f>
        <v>0</v>
      </c>
      <c r="G226" s="31">
        <f>IF(Resource!$L35=0,0,G290*Resource!$K35/Resource!$L35)</f>
        <v>36577.173666725481</v>
      </c>
      <c r="H226" s="31">
        <f>IF(Resource!$L35=0,0,H290*Resource!$K35/Resource!$L35)</f>
        <v>100144.42174761658</v>
      </c>
      <c r="I226" s="31">
        <f>IF(Resource!$L35=0,0,I290*Resource!$K35/Resource!$L35)</f>
        <v>41403.404585657947</v>
      </c>
      <c r="J226" s="31">
        <f>IF(Resource!$L35=0,0,J290*Resource!$K35/Resource!$L35)</f>
        <v>0</v>
      </c>
      <c r="K226" s="31">
        <f>IF(Resource!$L35=0,0,K290*Resource!$K35/Resource!$L35)</f>
        <v>0</v>
      </c>
      <c r="L226" s="31">
        <f>IF(Resource!$L35=0,0,L290*Resource!$K35/Resource!$L35)</f>
        <v>0</v>
      </c>
      <c r="M226" s="31">
        <f>IF(Resource!$L35=0,0,M290*Resource!$K35/Resource!$L35)</f>
        <v>0</v>
      </c>
      <c r="N226" s="31">
        <f>IF(Resource!$L35=0,0,N290*Resource!$K35/Resource!$L35)</f>
        <v>0</v>
      </c>
      <c r="O226" s="31">
        <f>IF(Resource!$L35=0,0,O290*Resource!$K35/Resource!$L35)</f>
        <v>0</v>
      </c>
      <c r="P226" s="31">
        <f>IF(Resource!$L35=0,0,P290*Resource!$K35/Resource!$L35)</f>
        <v>0</v>
      </c>
      <c r="Q226" s="31">
        <f>IF(Resource!$L35=0,0,Q290*Resource!$K35/Resource!$L35)</f>
        <v>0</v>
      </c>
      <c r="R226" s="31"/>
      <c r="S226" s="11">
        <f t="shared" si="10"/>
        <v>178125</v>
      </c>
      <c r="T226" s="2">
        <f>Resource!K35</f>
        <v>178125</v>
      </c>
    </row>
    <row r="227" spans="1:20">
      <c r="A227" s="146">
        <v>120</v>
      </c>
      <c r="B227" s="31"/>
      <c r="C227" s="31"/>
      <c r="D227" s="31"/>
      <c r="E227" s="31">
        <f>IF(Resource!$L36=0,0,E291*Resource!$K36/Resource!$L36)</f>
        <v>0</v>
      </c>
      <c r="F227" s="31">
        <f>IF(Resource!$L36=0,0,F291*Resource!$K36/Resource!$L36)</f>
        <v>0</v>
      </c>
      <c r="G227" s="31">
        <f>IF(Resource!$L36=0,0,G291*Resource!$K36/Resource!$L36)</f>
        <v>0</v>
      </c>
      <c r="H227" s="31">
        <f>IF(Resource!$L36=0,0,H291*Resource!$K36/Resource!$L36)</f>
        <v>0</v>
      </c>
      <c r="I227" s="31">
        <f>IF(Resource!$L36=0,0,I291*Resource!$K36/Resource!$L36)</f>
        <v>59325.499263601319</v>
      </c>
      <c r="J227" s="31">
        <f>IF(Resource!$L36=0,0,J291*Resource!$K36/Resource!$L36)</f>
        <v>100274.50073639867</v>
      </c>
      <c r="K227" s="31">
        <f>IF(Resource!$L36=0,0,K291*Resource!$K36/Resource!$L36)</f>
        <v>0</v>
      </c>
      <c r="L227" s="31">
        <f>IF(Resource!$L36=0,0,L291*Resource!$K36/Resource!$L36)</f>
        <v>0</v>
      </c>
      <c r="M227" s="31">
        <f>IF(Resource!$L36=0,0,M291*Resource!$K36/Resource!$L36)</f>
        <v>0</v>
      </c>
      <c r="N227" s="31">
        <f>IF(Resource!$L36=0,0,N291*Resource!$K36/Resource!$L36)</f>
        <v>0</v>
      </c>
      <c r="O227" s="31">
        <f>IF(Resource!$L36=0,0,O291*Resource!$K36/Resource!$L36)</f>
        <v>0</v>
      </c>
      <c r="P227" s="31">
        <f>IF(Resource!$L36=0,0,P291*Resource!$K36/Resource!$L36)</f>
        <v>0</v>
      </c>
      <c r="Q227" s="31">
        <f>IF(Resource!$L36=0,0,Q291*Resource!$K36/Resource!$L36)</f>
        <v>0</v>
      </c>
      <c r="R227" s="31"/>
      <c r="S227" s="11">
        <f t="shared" si="10"/>
        <v>159600</v>
      </c>
      <c r="T227" s="2">
        <f>Resource!K36</f>
        <v>159600</v>
      </c>
    </row>
    <row r="228" spans="1:20">
      <c r="A228" s="146">
        <v>115</v>
      </c>
      <c r="B228" s="31"/>
      <c r="C228" s="31"/>
      <c r="D228" s="31"/>
      <c r="E228" s="31">
        <f>IF(Resource!$L37=0,0,E292*Resource!$K37/Resource!$L37)</f>
        <v>0</v>
      </c>
      <c r="F228" s="31">
        <f>IF(Resource!$L37=0,0,F292*Resource!$K37/Resource!$L37)</f>
        <v>0</v>
      </c>
      <c r="G228" s="31">
        <f>IF(Resource!$L37=0,0,G292*Resource!$K37/Resource!$L37)</f>
        <v>0</v>
      </c>
      <c r="H228" s="31">
        <f>IF(Resource!$L37=0,0,H292*Resource!$K37/Resource!$L37)</f>
        <v>0</v>
      </c>
      <c r="I228" s="31">
        <f>IF(Resource!$L37=0,0,I292*Resource!$K37/Resource!$L37)</f>
        <v>0</v>
      </c>
      <c r="J228" s="31">
        <f>IF(Resource!$L37=0,0,J292*Resource!$K37/Resource!$L37)</f>
        <v>884.55253460171093</v>
      </c>
      <c r="K228" s="31">
        <f>IF(Resource!$L37=0,0,K292*Resource!$K37/Resource!$L37)</f>
        <v>141140.44746539832</v>
      </c>
      <c r="L228" s="31">
        <f>IF(Resource!$L37=0,0,L292*Resource!$K37/Resource!$L37)</f>
        <v>0</v>
      </c>
      <c r="M228" s="31">
        <f>IF(Resource!$L37=0,0,M292*Resource!$K37/Resource!$L37)</f>
        <v>0</v>
      </c>
      <c r="N228" s="31">
        <f>IF(Resource!$L37=0,0,N292*Resource!$K37/Resource!$L37)</f>
        <v>0</v>
      </c>
      <c r="O228" s="31">
        <f>IF(Resource!$L37=0,0,O292*Resource!$K37/Resource!$L37)</f>
        <v>0</v>
      </c>
      <c r="P228" s="31">
        <f>IF(Resource!$L37=0,0,P292*Resource!$K37/Resource!$L37)</f>
        <v>0</v>
      </c>
      <c r="Q228" s="31">
        <f>IF(Resource!$L37=0,0,Q292*Resource!$K37/Resource!$L37)</f>
        <v>0</v>
      </c>
      <c r="R228" s="31"/>
      <c r="S228" s="11">
        <f t="shared" si="10"/>
        <v>142025.00000000003</v>
      </c>
      <c r="T228" s="2">
        <f>Resource!K37</f>
        <v>142025</v>
      </c>
    </row>
    <row r="229" spans="1:20">
      <c r="A229" s="146">
        <v>110</v>
      </c>
      <c r="B229" s="31"/>
      <c r="C229" s="31"/>
      <c r="D229" s="31"/>
      <c r="E229" s="31">
        <f>IF(Resource!$L38=0,0,E293*Resource!$K38/Resource!$L38)</f>
        <v>0</v>
      </c>
      <c r="F229" s="31">
        <f>IF(Resource!$L38=0,0,F293*Resource!$K38/Resource!$L38)</f>
        <v>0</v>
      </c>
      <c r="G229" s="31">
        <f>IF(Resource!$L38=0,0,G293*Resource!$K38/Resource!$L38)</f>
        <v>0</v>
      </c>
      <c r="H229" s="31">
        <f>IF(Resource!$L38=0,0,H293*Resource!$K38/Resource!$L38)</f>
        <v>0</v>
      </c>
      <c r="I229" s="31">
        <f>IF(Resource!$L38=0,0,I293*Resource!$K38/Resource!$L38)</f>
        <v>0</v>
      </c>
      <c r="J229" s="31">
        <f>IF(Resource!$L38=0,0,J293*Resource!$K38/Resource!$L38)</f>
        <v>0</v>
      </c>
      <c r="K229" s="31">
        <f>IF(Resource!$L38=0,0,K293*Resource!$K38/Resource!$L38)</f>
        <v>-38316.282078034063</v>
      </c>
      <c r="L229" s="31">
        <f>IF(Resource!$L38=0,0,L293*Resource!$K38/Resource!$L38)</f>
        <v>163716.28207803407</v>
      </c>
      <c r="M229" s="31">
        <f>IF(Resource!$L38=0,0,M293*Resource!$K38/Resource!$L38)</f>
        <v>0</v>
      </c>
      <c r="N229" s="31">
        <f>IF(Resource!$L38=0,0,N293*Resource!$K38/Resource!$L38)</f>
        <v>0</v>
      </c>
      <c r="O229" s="31">
        <f>IF(Resource!$L38=0,0,O293*Resource!$K38/Resource!$L38)</f>
        <v>0</v>
      </c>
      <c r="P229" s="31">
        <f>IF(Resource!$L38=0,0,P293*Resource!$K38/Resource!$L38)</f>
        <v>0</v>
      </c>
      <c r="Q229" s="31">
        <f>IF(Resource!$L38=0,0,Q293*Resource!$K38/Resource!$L38)</f>
        <v>0</v>
      </c>
      <c r="R229" s="31"/>
      <c r="S229" s="11">
        <f t="shared" si="10"/>
        <v>125400</v>
      </c>
      <c r="T229" s="2">
        <f>Resource!K38</f>
        <v>125400</v>
      </c>
    </row>
    <row r="230" spans="1:20">
      <c r="A230" s="139">
        <v>105</v>
      </c>
      <c r="B230" s="31"/>
      <c r="C230" s="31"/>
      <c r="D230" s="31"/>
      <c r="E230" s="31">
        <f>IF(Resource!$L39=0,0,E294*Resource!$K39/Resource!$L39)</f>
        <v>0</v>
      </c>
      <c r="F230" s="31">
        <f>IF(Resource!$L39=0,0,F294*Resource!$K39/Resource!$L39)</f>
        <v>0</v>
      </c>
      <c r="G230" s="31">
        <f>IF(Resource!$L39=0,0,G294*Resource!$K39/Resource!$L39)</f>
        <v>0</v>
      </c>
      <c r="H230" s="31">
        <f>IF(Resource!$L39=0,0,H294*Resource!$K39/Resource!$L39)</f>
        <v>0</v>
      </c>
      <c r="I230" s="31">
        <f>IF(Resource!$L39=0,0,I294*Resource!$K39/Resource!$L39)</f>
        <v>0</v>
      </c>
      <c r="J230" s="31">
        <f>IF(Resource!$L39=0,0,J294*Resource!$K39/Resource!$L39)</f>
        <v>0</v>
      </c>
      <c r="K230" s="31">
        <f>IF(Resource!$L39=0,0,K294*Resource!$K39/Resource!$L39)</f>
        <v>0</v>
      </c>
      <c r="L230" s="31">
        <f>IF(Resource!$L39=0,0,L294*Resource!$K39/Resource!$L39)</f>
        <v>-63294.562946817023</v>
      </c>
      <c r="M230" s="31">
        <f>IF(Resource!$L39=0,0,M294*Resource!$K39/Resource!$L39)</f>
        <v>173019.56294681705</v>
      </c>
      <c r="N230" s="31">
        <f>IF(Resource!$L39=0,0,N294*Resource!$K39/Resource!$L39)</f>
        <v>0</v>
      </c>
      <c r="O230" s="31">
        <f>IF(Resource!$L39=0,0,O294*Resource!$K39/Resource!$L39)</f>
        <v>0</v>
      </c>
      <c r="P230" s="31">
        <f>IF(Resource!$L39=0,0,P294*Resource!$K39/Resource!$L39)</f>
        <v>0</v>
      </c>
      <c r="Q230" s="31">
        <f>IF(Resource!$L39=0,0,Q294*Resource!$K39/Resource!$L39)</f>
        <v>0</v>
      </c>
      <c r="R230" s="31"/>
      <c r="S230" s="11">
        <f t="shared" si="10"/>
        <v>109725.00000000003</v>
      </c>
      <c r="T230" s="2">
        <f>Resource!K39</f>
        <v>109725</v>
      </c>
    </row>
    <row r="231" spans="1:20">
      <c r="A231" s="139">
        <v>100</v>
      </c>
      <c r="B231" s="31"/>
      <c r="C231" s="31"/>
      <c r="D231" s="31"/>
      <c r="E231" s="31">
        <f>IF(Resource!$L40=0,0,E295*Resource!$K40/Resource!$L40)</f>
        <v>0</v>
      </c>
      <c r="F231" s="31">
        <f>IF(Resource!$L40=0,0,F295*Resource!$K40/Resource!$L40)</f>
        <v>0</v>
      </c>
      <c r="G231" s="31">
        <f>IF(Resource!$L40=0,0,G295*Resource!$K40/Resource!$L40)</f>
        <v>0</v>
      </c>
      <c r="H231" s="31">
        <f>IF(Resource!$L40=0,0,H295*Resource!$K40/Resource!$L40)</f>
        <v>0</v>
      </c>
      <c r="I231" s="31">
        <f>IF(Resource!$L40=0,0,I295*Resource!$K40/Resource!$L40)</f>
        <v>0</v>
      </c>
      <c r="J231" s="31">
        <f>IF(Resource!$L40=0,0,J295*Resource!$K40/Resource!$L40)</f>
        <v>0</v>
      </c>
      <c r="K231" s="31">
        <f>IF(Resource!$L40=0,0,K295*Resource!$K40/Resource!$L40)</f>
        <v>0</v>
      </c>
      <c r="L231" s="31">
        <f>IF(Resource!$L40=0,0,L295*Resource!$K40/Resource!$L40)</f>
        <v>0</v>
      </c>
      <c r="M231" s="31">
        <f>IF(Resource!$L40=0,0,M295*Resource!$K40/Resource!$L40)</f>
        <v>-71515.252769122482</v>
      </c>
      <c r="N231" s="31">
        <f>IF(Resource!$L40=0,0,N295*Resource!$K40/Resource!$L40)</f>
        <v>166515.25276912248</v>
      </c>
      <c r="O231" s="31">
        <f>IF(Resource!$L40=0,0,O295*Resource!$K40/Resource!$L40)</f>
        <v>0</v>
      </c>
      <c r="P231" s="31">
        <f>IF(Resource!$L40=0,0,P295*Resource!$K40/Resource!$L40)</f>
        <v>0</v>
      </c>
      <c r="Q231" s="31">
        <f>IF(Resource!$L40=0,0,Q295*Resource!$K40/Resource!$L40)</f>
        <v>0</v>
      </c>
      <c r="R231" s="31"/>
      <c r="S231" s="11">
        <f t="shared" si="10"/>
        <v>95000</v>
      </c>
      <c r="T231" s="2">
        <f>Resource!K40</f>
        <v>95000</v>
      </c>
    </row>
    <row r="232" spans="1:20">
      <c r="A232" s="139">
        <v>95</v>
      </c>
      <c r="B232" s="31"/>
      <c r="C232" s="31"/>
      <c r="D232" s="31"/>
      <c r="E232" s="31">
        <f>IF(Resource!$L41=0,0,E296*Resource!$K41/Resource!$L41)</f>
        <v>0</v>
      </c>
      <c r="F232" s="31">
        <f>IF(Resource!$L41=0,0,F296*Resource!$K41/Resource!$L41)</f>
        <v>0</v>
      </c>
      <c r="G232" s="31">
        <f>IF(Resource!$L41=0,0,G296*Resource!$K41/Resource!$L41)</f>
        <v>0</v>
      </c>
      <c r="H232" s="31">
        <f>IF(Resource!$L41=0,0,H296*Resource!$K41/Resource!$L41)</f>
        <v>0</v>
      </c>
      <c r="I232" s="31">
        <f>IF(Resource!$L41=0,0,I296*Resource!$K41/Resource!$L41)</f>
        <v>0</v>
      </c>
      <c r="J232" s="31">
        <f>IF(Resource!$L41=0,0,J296*Resource!$K41/Resource!$L41)</f>
        <v>0</v>
      </c>
      <c r="K232" s="31">
        <f>IF(Resource!$L41=0,0,K296*Resource!$K41/Resource!$L41)</f>
        <v>0</v>
      </c>
      <c r="L232" s="31">
        <f>IF(Resource!$L41=0,0,L296*Resource!$K41/Resource!$L41)</f>
        <v>0</v>
      </c>
      <c r="M232" s="31">
        <f>IF(Resource!$L41=0,0,M296*Resource!$K41/Resource!$L41)</f>
        <v>0</v>
      </c>
      <c r="N232" s="31">
        <f>IF(Resource!$L41=0,0,N296*Resource!$K41/Resource!$L41)</f>
        <v>-62446.897024847414</v>
      </c>
      <c r="O232" s="31">
        <f>IF(Resource!$L41=0,0,O296*Resource!$K41/Resource!$L41)</f>
        <v>143671.89702484742</v>
      </c>
      <c r="P232" s="31">
        <f>IF(Resource!$L41=0,0,P296*Resource!$K41/Resource!$L41)</f>
        <v>0</v>
      </c>
      <c r="Q232" s="31">
        <f>IF(Resource!$L41=0,0,Q296*Resource!$K41/Resource!$L41)</f>
        <v>0</v>
      </c>
      <c r="R232" s="31"/>
      <c r="S232" s="11">
        <f t="shared" si="10"/>
        <v>81225</v>
      </c>
      <c r="T232" s="2">
        <f>Resource!K41</f>
        <v>81225</v>
      </c>
    </row>
    <row r="233" spans="1:20">
      <c r="A233" s="139">
        <v>90</v>
      </c>
      <c r="B233" s="31"/>
      <c r="C233" s="31"/>
      <c r="D233" s="31"/>
      <c r="E233" s="31">
        <f>IF(Resource!$L42=0,0,E297*Resource!$K42/Resource!$L42)</f>
        <v>0</v>
      </c>
      <c r="F233" s="31">
        <f>IF(Resource!$L42=0,0,F297*Resource!$K42/Resource!$L42)</f>
        <v>0</v>
      </c>
      <c r="G233" s="31">
        <f>IF(Resource!$L42=0,0,G297*Resource!$K42/Resource!$L42)</f>
        <v>0</v>
      </c>
      <c r="H233" s="31">
        <f>IF(Resource!$L42=0,0,H297*Resource!$K42/Resource!$L42)</f>
        <v>0</v>
      </c>
      <c r="I233" s="31">
        <f>IF(Resource!$L42=0,0,I297*Resource!$K42/Resource!$L42)</f>
        <v>0</v>
      </c>
      <c r="J233" s="31">
        <f>IF(Resource!$L42=0,0,J297*Resource!$K42/Resource!$L42)</f>
        <v>0</v>
      </c>
      <c r="K233" s="31">
        <f>IF(Resource!$L42=0,0,K297*Resource!$K42/Resource!$L42)</f>
        <v>0</v>
      </c>
      <c r="L233" s="31">
        <f>IF(Resource!$L42=0,0,L297*Resource!$K42/Resource!$L42)</f>
        <v>0</v>
      </c>
      <c r="M233" s="31">
        <f>IF(Resource!$L42=0,0,M297*Resource!$K42/Resource!$L42)</f>
        <v>0</v>
      </c>
      <c r="N233" s="31">
        <f>IF(Resource!$L42=0,0,N297*Resource!$K42/Resource!$L42)</f>
        <v>0</v>
      </c>
      <c r="O233" s="31">
        <f>IF(Resource!$L42=0,0,O297*Resource!$K42/Resource!$L42)</f>
        <v>68400</v>
      </c>
      <c r="P233" s="31">
        <f>IF(Resource!$L42=0,0,P297*Resource!$K42/Resource!$L42)</f>
        <v>0</v>
      </c>
      <c r="Q233" s="31">
        <f>IF(Resource!$L42=0,0,Q297*Resource!$K42/Resource!$L42)</f>
        <v>0</v>
      </c>
      <c r="R233" s="31"/>
      <c r="S233" s="11">
        <f t="shared" si="10"/>
        <v>68400</v>
      </c>
      <c r="T233" s="2">
        <f>Resource!K42</f>
        <v>68400</v>
      </c>
    </row>
    <row r="234" spans="1:20">
      <c r="A234" s="139">
        <v>85</v>
      </c>
      <c r="B234" s="31"/>
      <c r="C234" s="31"/>
      <c r="D234" s="31"/>
      <c r="E234" s="31">
        <f>IF(Resource!$L43=0,0,E298*Resource!$K43/Resource!$L43)</f>
        <v>0</v>
      </c>
      <c r="F234" s="31">
        <f>IF(Resource!$L43=0,0,F298*Resource!$K43/Resource!$L43)</f>
        <v>0</v>
      </c>
      <c r="G234" s="31">
        <f>IF(Resource!$L43=0,0,G298*Resource!$K43/Resource!$L43)</f>
        <v>0</v>
      </c>
      <c r="H234" s="31">
        <f>IF(Resource!$L43=0,0,H298*Resource!$K43/Resource!$L43)</f>
        <v>0</v>
      </c>
      <c r="I234" s="31">
        <f>IF(Resource!$L43=0,0,I298*Resource!$K43/Resource!$L43)</f>
        <v>0</v>
      </c>
      <c r="J234" s="31">
        <f>IF(Resource!$L43=0,0,J298*Resource!$K43/Resource!$L43)</f>
        <v>0</v>
      </c>
      <c r="K234" s="31">
        <f>IF(Resource!$L43=0,0,K298*Resource!$K43/Resource!$L43)</f>
        <v>0</v>
      </c>
      <c r="L234" s="31">
        <f>IF(Resource!$L43=0,0,L298*Resource!$K43/Resource!$L43)</f>
        <v>0</v>
      </c>
      <c r="M234" s="31">
        <f>IF(Resource!$L43=0,0,M298*Resource!$K43/Resource!$L43)</f>
        <v>0</v>
      </c>
      <c r="N234" s="31">
        <f>IF(Resource!$L43=0,0,N298*Resource!$K43/Resource!$L43)</f>
        <v>0</v>
      </c>
      <c r="O234" s="31">
        <f>IF(Resource!$L43=0,0,O298*Resource!$K43/Resource!$L43)</f>
        <v>-105274.60603829008</v>
      </c>
      <c r="P234" s="31">
        <f>IF(Resource!$L43=0,0,P298*Resource!$K43/Resource!$L43)</f>
        <v>161799.60603829008</v>
      </c>
      <c r="Q234" s="31">
        <f>IF(Resource!$L43=0,0,Q298*Resource!$K43/Resource!$L43)</f>
        <v>0</v>
      </c>
      <c r="R234" s="31"/>
      <c r="S234" s="11">
        <f t="shared" si="10"/>
        <v>56525</v>
      </c>
      <c r="T234" s="2">
        <f>Resource!K43</f>
        <v>56525</v>
      </c>
    </row>
    <row r="235" spans="1:20">
      <c r="A235" s="141">
        <v>80</v>
      </c>
      <c r="B235" s="31"/>
      <c r="C235" s="31"/>
      <c r="D235" s="31"/>
      <c r="E235" s="31">
        <f>IF(Resource!$L44=0,0,E299*Resource!$K44/Resource!$L44)</f>
        <v>0</v>
      </c>
      <c r="F235" s="31">
        <f>IF(Resource!$L44=0,0,F299*Resource!$K44/Resource!$L44)</f>
        <v>0</v>
      </c>
      <c r="G235" s="31">
        <f>IF(Resource!$L44=0,0,G299*Resource!$K44/Resource!$L44)</f>
        <v>0</v>
      </c>
      <c r="H235" s="31">
        <f>IF(Resource!$L44=0,0,H299*Resource!$K44/Resource!$L44)</f>
        <v>0</v>
      </c>
      <c r="I235" s="31">
        <f>IF(Resource!$L44=0,0,I299*Resource!$K44/Resource!$L44)</f>
        <v>0</v>
      </c>
      <c r="J235" s="31">
        <f>IF(Resource!$L44=0,0,J299*Resource!$K44/Resource!$L44)</f>
        <v>0</v>
      </c>
      <c r="K235" s="31">
        <f>IF(Resource!$L44=0,0,K299*Resource!$K44/Resource!$L44)</f>
        <v>0</v>
      </c>
      <c r="L235" s="31">
        <f>IF(Resource!$L44=0,0,L299*Resource!$K44/Resource!$L44)</f>
        <v>0</v>
      </c>
      <c r="M235" s="31">
        <f>IF(Resource!$L44=0,0,M299*Resource!$K44/Resource!$L44)</f>
        <v>0</v>
      </c>
      <c r="N235" s="31">
        <f>IF(Resource!$L44=0,0,N299*Resource!$K44/Resource!$L44)</f>
        <v>0</v>
      </c>
      <c r="O235" s="31">
        <f>IF(Resource!$L44=0,0,O299*Resource!$K44/Resource!$L44)</f>
        <v>0</v>
      </c>
      <c r="P235" s="31">
        <f>IF(Resource!$L44=0,0,P299*Resource!$K44/Resource!$L44)</f>
        <v>45600</v>
      </c>
      <c r="Q235" s="31">
        <f>IF(Resource!$L44=0,0,Q299*Resource!$K44/Resource!$L44)</f>
        <v>0</v>
      </c>
      <c r="R235" s="31"/>
      <c r="S235" s="11">
        <f t="shared" si="10"/>
        <v>45600</v>
      </c>
      <c r="T235" s="2">
        <f>Resource!K44</f>
        <v>45600</v>
      </c>
    </row>
    <row r="236" spans="1:20">
      <c r="A236" s="141">
        <v>75</v>
      </c>
      <c r="B236" s="31"/>
      <c r="C236" s="31"/>
      <c r="D236" s="31"/>
      <c r="E236" s="31">
        <f>IF(Resource!$L45=0,0,E300*Resource!$K45/Resource!$L45)</f>
        <v>0</v>
      </c>
      <c r="F236" s="31">
        <f>IF(Resource!$L45=0,0,F300*Resource!$K45/Resource!$L45)</f>
        <v>0</v>
      </c>
      <c r="G236" s="31">
        <f>IF(Resource!$L45=0,0,G300*Resource!$K45/Resource!$L45)</f>
        <v>0</v>
      </c>
      <c r="H236" s="31">
        <f>IF(Resource!$L45=0,0,H300*Resource!$K45/Resource!$L45)</f>
        <v>0</v>
      </c>
      <c r="I236" s="31">
        <f>IF(Resource!$L45=0,0,I300*Resource!$K45/Resource!$L45)</f>
        <v>0</v>
      </c>
      <c r="J236" s="31">
        <f>IF(Resource!$L45=0,0,J300*Resource!$K45/Resource!$L45)</f>
        <v>0</v>
      </c>
      <c r="K236" s="31">
        <f>IF(Resource!$L45=0,0,K300*Resource!$K45/Resource!$L45)</f>
        <v>0</v>
      </c>
      <c r="L236" s="31">
        <f>IF(Resource!$L45=0,0,L300*Resource!$K45/Resource!$L45)</f>
        <v>0</v>
      </c>
      <c r="M236" s="31">
        <f>IF(Resource!$L45=0,0,M300*Resource!$K45/Resource!$L45)</f>
        <v>0</v>
      </c>
      <c r="N236" s="31">
        <f>IF(Resource!$L45=0,0,N300*Resource!$K45/Resource!$L45)</f>
        <v>0</v>
      </c>
      <c r="O236" s="31">
        <f>IF(Resource!$L45=0,0,O300*Resource!$K45/Resource!$L45)</f>
        <v>0</v>
      </c>
      <c r="P236" s="31">
        <f>IF(Resource!$L45=0,0,P300*Resource!$K45/Resource!$L45)</f>
        <v>-99378.465387333985</v>
      </c>
      <c r="Q236" s="31">
        <f>IF(Resource!$L45=0,0,Q300*Resource!$K45/Resource!$L45)</f>
        <v>135003.46538733397</v>
      </c>
      <c r="R236" s="31"/>
      <c r="S236" s="11">
        <f t="shared" si="10"/>
        <v>35624.999999999985</v>
      </c>
      <c r="T236" s="2">
        <f>Resource!K45</f>
        <v>35625</v>
      </c>
    </row>
    <row r="237" spans="1:20">
      <c r="A237" s="141">
        <v>70</v>
      </c>
      <c r="B237" s="31"/>
      <c r="C237" s="31"/>
      <c r="D237" s="31"/>
      <c r="E237" s="31">
        <f>IF(Resource!$L46=0,0,E301*Resource!$K46/Resource!$L46)</f>
        <v>0</v>
      </c>
      <c r="F237" s="31">
        <f>IF(Resource!$L46=0,0,F301*Resource!$K46/Resource!$L46)</f>
        <v>0</v>
      </c>
      <c r="G237" s="31">
        <f>IF(Resource!$L46=0,0,G301*Resource!$K46/Resource!$L46)</f>
        <v>0</v>
      </c>
      <c r="H237" s="31">
        <f>IF(Resource!$L46=0,0,H301*Resource!$K46/Resource!$L46)</f>
        <v>0</v>
      </c>
      <c r="I237" s="31">
        <f>IF(Resource!$L46=0,0,I301*Resource!$K46/Resource!$L46)</f>
        <v>0</v>
      </c>
      <c r="J237" s="31">
        <f>IF(Resource!$L46=0,0,J301*Resource!$K46/Resource!$L46)</f>
        <v>0</v>
      </c>
      <c r="K237" s="31">
        <f>IF(Resource!$L46=0,0,K301*Resource!$K46/Resource!$L46)</f>
        <v>0</v>
      </c>
      <c r="L237" s="31">
        <f>IF(Resource!$L46=0,0,L301*Resource!$K46/Resource!$L46)</f>
        <v>0</v>
      </c>
      <c r="M237" s="31">
        <f>IF(Resource!$L46=0,0,M301*Resource!$K46/Resource!$L46)</f>
        <v>0</v>
      </c>
      <c r="N237" s="31">
        <f>IF(Resource!$L46=0,0,N301*Resource!$K46/Resource!$L46)</f>
        <v>0</v>
      </c>
      <c r="O237" s="31">
        <f>IF(Resource!$L46=0,0,O301*Resource!$K46/Resource!$L46)</f>
        <v>0</v>
      </c>
      <c r="P237" s="31">
        <f>IF(Resource!$L46=0,0,P301*Resource!$K46/Resource!$L46)</f>
        <v>0</v>
      </c>
      <c r="Q237" s="31">
        <f>IF(Resource!$L46=0,0,Q301*Resource!$K46/Resource!$L46)</f>
        <v>26600</v>
      </c>
      <c r="R237" s="31"/>
      <c r="S237" s="11">
        <f t="shared" si="10"/>
        <v>26600</v>
      </c>
      <c r="T237" s="2">
        <f>Resource!K46</f>
        <v>26600</v>
      </c>
    </row>
    <row r="238" spans="1:20">
      <c r="A238" s="141">
        <v>65</v>
      </c>
      <c r="B238" s="31"/>
      <c r="C238" s="31"/>
      <c r="D238" s="31"/>
      <c r="E238" s="31">
        <f>IF(Resource!$L47=0,0,E302*Resource!$K47/Resource!$L47)</f>
        <v>0</v>
      </c>
      <c r="F238" s="31">
        <f>IF(Resource!$L47=0,0,F302*Resource!$K47/Resource!$L47)</f>
        <v>0</v>
      </c>
      <c r="G238" s="31">
        <f>IF(Resource!$L47=0,0,G302*Resource!$K47/Resource!$L47)</f>
        <v>0</v>
      </c>
      <c r="H238" s="31">
        <f>IF(Resource!$L47=0,0,H302*Resource!$K47/Resource!$L47)</f>
        <v>0</v>
      </c>
      <c r="I238" s="31">
        <f>IF(Resource!$L47=0,0,I302*Resource!$K47/Resource!$L47)</f>
        <v>0</v>
      </c>
      <c r="J238" s="31">
        <f>IF(Resource!$L47=0,0,J302*Resource!$K47/Resource!$L47)</f>
        <v>0</v>
      </c>
      <c r="K238" s="31">
        <f>IF(Resource!$L47=0,0,K302*Resource!$K47/Resource!$L47)</f>
        <v>0</v>
      </c>
      <c r="L238" s="31">
        <f>IF(Resource!$L47=0,0,L302*Resource!$K47/Resource!$L47)</f>
        <v>0</v>
      </c>
      <c r="M238" s="31">
        <f>IF(Resource!$L47=0,0,M302*Resource!$K47/Resource!$L47)</f>
        <v>0</v>
      </c>
      <c r="N238" s="31">
        <f>IF(Resource!$L47=0,0,N302*Resource!$K47/Resource!$L47)</f>
        <v>0</v>
      </c>
      <c r="O238" s="31">
        <f>IF(Resource!$L47=0,0,O302*Resource!$K47/Resource!$L47)</f>
        <v>0</v>
      </c>
      <c r="P238" s="31">
        <f>IF(Resource!$L47=0,0,P302*Resource!$K47/Resource!$L47)</f>
        <v>0</v>
      </c>
      <c r="Q238" s="31">
        <f>IF(Resource!$L47=0,0,Q302*Resource!$K47/Resource!$L47)</f>
        <v>0</v>
      </c>
      <c r="R238" s="31"/>
      <c r="S238" s="11">
        <f t="shared" si="10"/>
        <v>0</v>
      </c>
      <c r="T238" s="2">
        <f>Resource!K47</f>
        <v>0</v>
      </c>
    </row>
    <row r="239" spans="1:20">
      <c r="A239" s="141">
        <v>60</v>
      </c>
      <c r="B239" s="31"/>
      <c r="C239" s="31"/>
      <c r="D239" s="31"/>
      <c r="E239" s="31">
        <f>IF(Resource!$L48=0,0,E303*Resource!$K48/Resource!$L48)</f>
        <v>0</v>
      </c>
      <c r="F239" s="31">
        <f>IF(Resource!$L48=0,0,F303*Resource!$K48/Resource!$L48)</f>
        <v>0</v>
      </c>
      <c r="G239" s="31">
        <f>IF(Resource!$L48=0,0,G303*Resource!$K48/Resource!$L48)</f>
        <v>0</v>
      </c>
      <c r="H239" s="31">
        <f>IF(Resource!$L48=0,0,H303*Resource!$K48/Resource!$L48)</f>
        <v>0</v>
      </c>
      <c r="I239" s="31">
        <f>IF(Resource!$L48=0,0,I303*Resource!$K48/Resource!$L48)</f>
        <v>0</v>
      </c>
      <c r="J239" s="31">
        <f>IF(Resource!$L48=0,0,J303*Resource!$K48/Resource!$L48)</f>
        <v>0</v>
      </c>
      <c r="K239" s="31">
        <f>IF(Resource!$L48=0,0,K303*Resource!$K48/Resource!$L48)</f>
        <v>0</v>
      </c>
      <c r="L239" s="31">
        <f>IF(Resource!$L48=0,0,L303*Resource!$K48/Resource!$L48)</f>
        <v>0</v>
      </c>
      <c r="M239" s="31">
        <f>IF(Resource!$L48=0,0,M303*Resource!$K48/Resource!$L48)</f>
        <v>0</v>
      </c>
      <c r="N239" s="31">
        <f>IF(Resource!$L48=0,0,N303*Resource!$K48/Resource!$L48)</f>
        <v>0</v>
      </c>
      <c r="O239" s="31">
        <f>IF(Resource!$L48=0,0,O303*Resource!$K48/Resource!$L48)</f>
        <v>0</v>
      </c>
      <c r="P239" s="31">
        <f>IF(Resource!$L48=0,0,P303*Resource!$K48/Resource!$L48)</f>
        <v>0</v>
      </c>
      <c r="Q239" s="31">
        <f>IF(Resource!$L48=0,0,Q303*Resource!$K48/Resource!$L48)</f>
        <v>0</v>
      </c>
      <c r="R239" s="31"/>
      <c r="S239" s="11">
        <f t="shared" si="10"/>
        <v>0</v>
      </c>
      <c r="T239" s="2">
        <f>Resource!K48</f>
        <v>0</v>
      </c>
    </row>
    <row r="240" spans="1:20">
      <c r="A240" s="146">
        <v>55</v>
      </c>
      <c r="B240" s="31"/>
      <c r="C240" s="31"/>
      <c r="D240" s="31"/>
      <c r="E240" s="31">
        <f>IF(Resource!$L49=0,0,E304*Resource!$K49/Resource!$L49)</f>
        <v>0</v>
      </c>
      <c r="F240" s="31">
        <f>IF(Resource!$L49=0,0,F304*Resource!$K49/Resource!$L49)</f>
        <v>0</v>
      </c>
      <c r="G240" s="31">
        <f>IF(Resource!$L49=0,0,G304*Resource!$K49/Resource!$L49)</f>
        <v>0</v>
      </c>
      <c r="H240" s="31">
        <f>IF(Resource!$L49=0,0,H304*Resource!$K49/Resource!$L49)</f>
        <v>0</v>
      </c>
      <c r="I240" s="31">
        <f>IF(Resource!$L49=0,0,I304*Resource!$K49/Resource!$L49)</f>
        <v>0</v>
      </c>
      <c r="J240" s="31">
        <f>IF(Resource!$L49=0,0,J304*Resource!$K49/Resource!$L49)</f>
        <v>0</v>
      </c>
      <c r="K240" s="31">
        <f>IF(Resource!$L49=0,0,K304*Resource!$K49/Resource!$L49)</f>
        <v>0</v>
      </c>
      <c r="L240" s="31">
        <f>IF(Resource!$L49=0,0,L304*Resource!$K49/Resource!$L49)</f>
        <v>0</v>
      </c>
      <c r="M240" s="31">
        <f>IF(Resource!$L49=0,0,M304*Resource!$K49/Resource!$L49)</f>
        <v>0</v>
      </c>
      <c r="N240" s="31">
        <f>IF(Resource!$L49=0,0,N304*Resource!$K49/Resource!$L49)</f>
        <v>0</v>
      </c>
      <c r="O240" s="31">
        <f>IF(Resource!$L49=0,0,O304*Resource!$K49/Resource!$L49)</f>
        <v>0</v>
      </c>
      <c r="P240" s="31">
        <f>IF(Resource!$L49=0,0,P304*Resource!$K49/Resource!$L49)</f>
        <v>0</v>
      </c>
      <c r="Q240" s="31">
        <f>IF(Resource!$L49=0,0,Q304*Resource!$K49/Resource!$L49)</f>
        <v>0</v>
      </c>
      <c r="R240" s="31"/>
      <c r="S240" s="11">
        <f t="shared" si="10"/>
        <v>0</v>
      </c>
      <c r="T240" s="2">
        <f>Resource!K49</f>
        <v>0</v>
      </c>
    </row>
    <row r="241" spans="1:20">
      <c r="A241" s="146">
        <v>50</v>
      </c>
      <c r="B241" s="31"/>
      <c r="C241" s="31"/>
      <c r="D241" s="31"/>
      <c r="E241" s="31">
        <f>IF(Resource!$L50=0,0,E305*Resource!$K50/Resource!$L50)</f>
        <v>0</v>
      </c>
      <c r="F241" s="31">
        <f>IF(Resource!$L50=0,0,F305*Resource!$K50/Resource!$L50)</f>
        <v>0</v>
      </c>
      <c r="G241" s="31">
        <f>IF(Resource!$L50=0,0,G305*Resource!$K50/Resource!$L50)</f>
        <v>0</v>
      </c>
      <c r="H241" s="31">
        <f>IF(Resource!$L50=0,0,H305*Resource!$K50/Resource!$L50)</f>
        <v>0</v>
      </c>
      <c r="I241" s="31">
        <f>IF(Resource!$L50=0,0,I305*Resource!$K50/Resource!$L50)</f>
        <v>0</v>
      </c>
      <c r="J241" s="31">
        <f>IF(Resource!$L50=0,0,J305*Resource!$K50/Resource!$L50)</f>
        <v>0</v>
      </c>
      <c r="K241" s="31">
        <f>IF(Resource!$L50=0,0,K305*Resource!$K50/Resource!$L50)</f>
        <v>0</v>
      </c>
      <c r="L241" s="31">
        <f>IF(Resource!$L50=0,0,L305*Resource!$K50/Resource!$L50)</f>
        <v>0</v>
      </c>
      <c r="M241" s="31">
        <f>IF(Resource!$L50=0,0,M305*Resource!$K50/Resource!$L50)</f>
        <v>0</v>
      </c>
      <c r="N241" s="31">
        <f>IF(Resource!$L50=0,0,N305*Resource!$K50/Resource!$L50)</f>
        <v>0</v>
      </c>
      <c r="O241" s="31">
        <f>IF(Resource!$L50=0,0,O305*Resource!$K50/Resource!$L50)</f>
        <v>0</v>
      </c>
      <c r="P241" s="31">
        <f>IF(Resource!$L50=0,0,P305*Resource!$K50/Resource!$L50)</f>
        <v>0</v>
      </c>
      <c r="Q241" s="31">
        <f>IF(Resource!$L50=0,0,Q305*Resource!$K50/Resource!$L50)</f>
        <v>0</v>
      </c>
      <c r="R241" s="31"/>
      <c r="S241" s="11">
        <f t="shared" si="10"/>
        <v>0</v>
      </c>
      <c r="T241" s="2">
        <f>Resource!K50</f>
        <v>0</v>
      </c>
    </row>
    <row r="242" spans="1:20">
      <c r="A242" s="146">
        <v>45</v>
      </c>
      <c r="B242" s="31"/>
      <c r="C242" s="31"/>
      <c r="D242" s="31"/>
      <c r="E242" s="31">
        <f>IF(Resource!$L51=0,0,E306*Resource!$K51/Resource!$L51)</f>
        <v>0</v>
      </c>
      <c r="F242" s="31">
        <f>IF(Resource!$L51=0,0,F306*Resource!$K51/Resource!$L51)</f>
        <v>0</v>
      </c>
      <c r="G242" s="31">
        <f>IF(Resource!$L51=0,0,G306*Resource!$K51/Resource!$L51)</f>
        <v>0</v>
      </c>
      <c r="H242" s="31">
        <f>IF(Resource!$L51=0,0,H306*Resource!$K51/Resource!$L51)</f>
        <v>0</v>
      </c>
      <c r="I242" s="31">
        <f>IF(Resource!$L51=0,0,I306*Resource!$K51/Resource!$L51)</f>
        <v>0</v>
      </c>
      <c r="J242" s="31">
        <f>IF(Resource!$L51=0,0,J306*Resource!$K51/Resource!$L51)</f>
        <v>0</v>
      </c>
      <c r="K242" s="31">
        <f>IF(Resource!$L51=0,0,K306*Resource!$K51/Resource!$L51)</f>
        <v>0</v>
      </c>
      <c r="L242" s="31">
        <f>IF(Resource!$L51=0,0,L306*Resource!$K51/Resource!$L51)</f>
        <v>0</v>
      </c>
      <c r="M242" s="31">
        <f>IF(Resource!$L51=0,0,M306*Resource!$K51/Resource!$L51)</f>
        <v>0</v>
      </c>
      <c r="N242" s="31">
        <f>IF(Resource!$L51=0,0,N306*Resource!$K51/Resource!$L51)</f>
        <v>0</v>
      </c>
      <c r="O242" s="31">
        <f>IF(Resource!$L51=0,0,O306*Resource!$K51/Resource!$L51)</f>
        <v>0</v>
      </c>
      <c r="P242" s="31">
        <f>IF(Resource!$L51=0,0,P306*Resource!$K51/Resource!$L51)</f>
        <v>0</v>
      </c>
      <c r="Q242" s="31">
        <f>IF(Resource!$L51=0,0,Q306*Resource!$K51/Resource!$L51)</f>
        <v>0</v>
      </c>
      <c r="R242" s="31"/>
      <c r="S242" s="11">
        <f t="shared" si="10"/>
        <v>0</v>
      </c>
      <c r="T242" s="2">
        <f>Resource!K51</f>
        <v>0</v>
      </c>
    </row>
    <row r="243" spans="1:20">
      <c r="A243" s="146">
        <v>40</v>
      </c>
      <c r="B243" s="31"/>
      <c r="C243" s="31"/>
      <c r="D243" s="31"/>
      <c r="E243" s="31">
        <f>IF(Resource!$L52=0,0,E307*Resource!$K52/Resource!$L52)</f>
        <v>0</v>
      </c>
      <c r="F243" s="31">
        <f>IF(Resource!$L52=0,0,F307*Resource!$K52/Resource!$L52)</f>
        <v>0</v>
      </c>
      <c r="G243" s="31">
        <f>IF(Resource!$L52=0,0,G307*Resource!$K52/Resource!$L52)</f>
        <v>0</v>
      </c>
      <c r="H243" s="31">
        <f>IF(Resource!$L52=0,0,H307*Resource!$K52/Resource!$L52)</f>
        <v>0</v>
      </c>
      <c r="I243" s="31">
        <f>IF(Resource!$L52=0,0,I307*Resource!$K52/Resource!$L52)</f>
        <v>0</v>
      </c>
      <c r="J243" s="31">
        <f>IF(Resource!$L52=0,0,J307*Resource!$K52/Resource!$L52)</f>
        <v>0</v>
      </c>
      <c r="K243" s="31">
        <f>IF(Resource!$L52=0,0,K307*Resource!$K52/Resource!$L52)</f>
        <v>0</v>
      </c>
      <c r="L243" s="31">
        <f>IF(Resource!$L52=0,0,L307*Resource!$K52/Resource!$L52)</f>
        <v>0</v>
      </c>
      <c r="M243" s="31">
        <f>IF(Resource!$L52=0,0,M307*Resource!$K52/Resource!$L52)</f>
        <v>0</v>
      </c>
      <c r="N243" s="31">
        <f>IF(Resource!$L52=0,0,N307*Resource!$K52/Resource!$L52)</f>
        <v>0</v>
      </c>
      <c r="O243" s="31">
        <f>IF(Resource!$L52=0,0,O307*Resource!$K52/Resource!$L52)</f>
        <v>0</v>
      </c>
      <c r="P243" s="31">
        <f>IF(Resource!$L52=0,0,P307*Resource!$K52/Resource!$L52)</f>
        <v>0</v>
      </c>
      <c r="Q243" s="31">
        <f>IF(Resource!$L52=0,0,Q307*Resource!$K52/Resource!$L52)</f>
        <v>0</v>
      </c>
      <c r="R243" s="31"/>
      <c r="S243" s="11">
        <f t="shared" si="10"/>
        <v>0</v>
      </c>
      <c r="T243" s="2">
        <f>Resource!K52</f>
        <v>0</v>
      </c>
    </row>
    <row r="244" spans="1:20">
      <c r="A244" s="146">
        <v>35</v>
      </c>
      <c r="B244" s="31"/>
      <c r="C244" s="31"/>
      <c r="D244" s="31"/>
      <c r="E244" s="31">
        <f>IF(Resource!$L53=0,0,E308*Resource!$K53/Resource!$L53)</f>
        <v>0</v>
      </c>
      <c r="F244" s="31">
        <f>IF(Resource!$L53=0,0,F308*Resource!$K53/Resource!$L53)</f>
        <v>0</v>
      </c>
      <c r="G244" s="31">
        <f>IF(Resource!$L53=0,0,G308*Resource!$K53/Resource!$L53)</f>
        <v>0</v>
      </c>
      <c r="H244" s="31">
        <f>IF(Resource!$L53=0,0,H308*Resource!$K53/Resource!$L53)</f>
        <v>0</v>
      </c>
      <c r="I244" s="31">
        <f>IF(Resource!$L53=0,0,I308*Resource!$K53/Resource!$L53)</f>
        <v>0</v>
      </c>
      <c r="J244" s="31">
        <f>IF(Resource!$L53=0,0,J308*Resource!$K53/Resource!$L53)</f>
        <v>0</v>
      </c>
      <c r="K244" s="31">
        <f>IF(Resource!$L53=0,0,K308*Resource!$K53/Resource!$L53)</f>
        <v>0</v>
      </c>
      <c r="L244" s="31">
        <f>IF(Resource!$L53=0,0,L308*Resource!$K53/Resource!$L53)</f>
        <v>0</v>
      </c>
      <c r="M244" s="31">
        <f>IF(Resource!$L53=0,0,M308*Resource!$K53/Resource!$L53)</f>
        <v>0</v>
      </c>
      <c r="N244" s="31">
        <f>IF(Resource!$L53=0,0,N308*Resource!$K53/Resource!$L53)</f>
        <v>0</v>
      </c>
      <c r="O244" s="31">
        <f>IF(Resource!$L53=0,0,O308*Resource!$K53/Resource!$L53)</f>
        <v>0</v>
      </c>
      <c r="P244" s="31">
        <f>IF(Resource!$L53=0,0,P308*Resource!$K53/Resource!$L53)</f>
        <v>0</v>
      </c>
      <c r="Q244" s="31">
        <f>IF(Resource!$L53=0,0,Q308*Resource!$K53/Resource!$L53)</f>
        <v>0</v>
      </c>
      <c r="R244" s="31"/>
      <c r="S244" s="11">
        <f t="shared" si="10"/>
        <v>0</v>
      </c>
      <c r="T244" s="2">
        <f>Resource!K53</f>
        <v>0</v>
      </c>
    </row>
    <row r="245" spans="1:20">
      <c r="A245" s="146">
        <v>30</v>
      </c>
      <c r="B245" s="31"/>
      <c r="C245" s="31"/>
      <c r="D245" s="31"/>
      <c r="E245" s="31">
        <f>IF(Resource!$L54=0,0,E309*Resource!$K54/Resource!$L54)</f>
        <v>0</v>
      </c>
      <c r="F245" s="31">
        <f>IF(Resource!$L54=0,0,F309*Resource!$K54/Resource!$L54)</f>
        <v>0</v>
      </c>
      <c r="G245" s="31">
        <f>IF(Resource!$L54=0,0,G309*Resource!$K54/Resource!$L54)</f>
        <v>0</v>
      </c>
      <c r="H245" s="31">
        <f>IF(Resource!$L54=0,0,H309*Resource!$K54/Resource!$L54)</f>
        <v>0</v>
      </c>
      <c r="I245" s="31">
        <f>IF(Resource!$L54=0,0,I309*Resource!$K54/Resource!$L54)</f>
        <v>0</v>
      </c>
      <c r="J245" s="31">
        <f>IF(Resource!$L54=0,0,J309*Resource!$K54/Resource!$L54)</f>
        <v>0</v>
      </c>
      <c r="K245" s="31">
        <f>IF(Resource!$L54=0,0,K309*Resource!$K54/Resource!$L54)</f>
        <v>0</v>
      </c>
      <c r="L245" s="31">
        <f>IF(Resource!$L54=0,0,L309*Resource!$K54/Resource!$L54)</f>
        <v>0</v>
      </c>
      <c r="M245" s="31">
        <f>IF(Resource!$L54=0,0,M309*Resource!$K54/Resource!$L54)</f>
        <v>0</v>
      </c>
      <c r="N245" s="31">
        <f>IF(Resource!$L54=0,0,N309*Resource!$K54/Resource!$L54)</f>
        <v>0</v>
      </c>
      <c r="O245" s="31">
        <f>IF(Resource!$L54=0,0,O309*Resource!$K54/Resource!$L54)</f>
        <v>0</v>
      </c>
      <c r="P245" s="31">
        <f>IF(Resource!$L54=0,0,P309*Resource!$K54/Resource!$L54)</f>
        <v>0</v>
      </c>
      <c r="Q245" s="31">
        <f>IF(Resource!$L54=0,0,Q309*Resource!$K54/Resource!$L54)</f>
        <v>0</v>
      </c>
      <c r="R245" s="31"/>
      <c r="S245" s="11">
        <f t="shared" si="10"/>
        <v>0</v>
      </c>
      <c r="T245" s="2">
        <f>Resource!K54</f>
        <v>0</v>
      </c>
    </row>
    <row r="246" spans="1:20">
      <c r="A246" s="146">
        <v>25</v>
      </c>
      <c r="B246" s="31"/>
      <c r="C246" s="31"/>
      <c r="D246" s="31"/>
      <c r="E246" s="31">
        <f>IF(Resource!$L55=0,0,E310*Resource!$K55/Resource!$L55)</f>
        <v>0</v>
      </c>
      <c r="F246" s="31">
        <f>IF(Resource!$L55=0,0,F310*Resource!$K55/Resource!$L55)</f>
        <v>0</v>
      </c>
      <c r="G246" s="31">
        <f>IF(Resource!$L55=0,0,G310*Resource!$K55/Resource!$L55)</f>
        <v>0</v>
      </c>
      <c r="H246" s="31">
        <f>IF(Resource!$L55=0,0,H310*Resource!$K55/Resource!$L55)</f>
        <v>0</v>
      </c>
      <c r="I246" s="31">
        <f>IF(Resource!$L55=0,0,I310*Resource!$K55/Resource!$L55)</f>
        <v>0</v>
      </c>
      <c r="J246" s="31">
        <f>IF(Resource!$L55=0,0,J310*Resource!$K55/Resource!$L55)</f>
        <v>0</v>
      </c>
      <c r="K246" s="31">
        <f>IF(Resource!$L55=0,0,K310*Resource!$K55/Resource!$L55)</f>
        <v>0</v>
      </c>
      <c r="L246" s="31">
        <f>IF(Resource!$L55=0,0,L310*Resource!$K55/Resource!$L55)</f>
        <v>0</v>
      </c>
      <c r="M246" s="31">
        <f>IF(Resource!$L55=0,0,M310*Resource!$K55/Resource!$L55)</f>
        <v>0</v>
      </c>
      <c r="N246" s="31">
        <f>IF(Resource!$L55=0,0,N310*Resource!$K55/Resource!$L55)</f>
        <v>0</v>
      </c>
      <c r="O246" s="31">
        <f>IF(Resource!$L55=0,0,O310*Resource!$K55/Resource!$L55)</f>
        <v>0</v>
      </c>
      <c r="P246" s="31">
        <f>IF(Resource!$L55=0,0,P310*Resource!$K55/Resource!$L55)</f>
        <v>0</v>
      </c>
      <c r="Q246" s="31">
        <f>IF(Resource!$L55=0,0,Q310*Resource!$K55/Resource!$L55)</f>
        <v>0</v>
      </c>
      <c r="R246" s="31"/>
      <c r="S246" s="11">
        <f t="shared" si="10"/>
        <v>0</v>
      </c>
      <c r="T246" s="2">
        <f>Resource!K55</f>
        <v>0</v>
      </c>
    </row>
    <row r="247" spans="1:20">
      <c r="A247" s="146">
        <v>20</v>
      </c>
      <c r="B247" s="31"/>
      <c r="C247" s="31"/>
      <c r="D247" s="31"/>
      <c r="E247" s="31">
        <f>IF(Resource!$L56=0,0,E311*Resource!$K56/Resource!$L56)</f>
        <v>0</v>
      </c>
      <c r="F247" s="31">
        <f>IF(Resource!$L56=0,0,F311*Resource!$K56/Resource!$L56)</f>
        <v>0</v>
      </c>
      <c r="G247" s="31">
        <f>IF(Resource!$L56=0,0,G311*Resource!$K56/Resource!$L56)</f>
        <v>0</v>
      </c>
      <c r="H247" s="31">
        <f>IF(Resource!$L56=0,0,H311*Resource!$K56/Resource!$L56)</f>
        <v>0</v>
      </c>
      <c r="I247" s="31">
        <f>IF(Resource!$L56=0,0,I311*Resource!$K56/Resource!$L56)</f>
        <v>0</v>
      </c>
      <c r="J247" s="31">
        <f>IF(Resource!$L56=0,0,J311*Resource!$K56/Resource!$L56)</f>
        <v>0</v>
      </c>
      <c r="K247" s="31">
        <f>IF(Resource!$L56=0,0,K311*Resource!$K56/Resource!$L56)</f>
        <v>0</v>
      </c>
      <c r="L247" s="31">
        <f>IF(Resource!$L56=0,0,L311*Resource!$K56/Resource!$L56)</f>
        <v>0</v>
      </c>
      <c r="M247" s="31">
        <f>IF(Resource!$L56=0,0,M311*Resource!$K56/Resource!$L56)</f>
        <v>0</v>
      </c>
      <c r="N247" s="31">
        <f>IF(Resource!$L56=0,0,N311*Resource!$K56/Resource!$L56)</f>
        <v>0</v>
      </c>
      <c r="O247" s="31">
        <f>IF(Resource!$L56=0,0,O311*Resource!$K56/Resource!$L56)</f>
        <v>0</v>
      </c>
      <c r="P247" s="31">
        <f>IF(Resource!$L56=0,0,P311*Resource!$K56/Resource!$L56)</f>
        <v>0</v>
      </c>
      <c r="Q247" s="31">
        <f>IF(Resource!$L56=0,0,Q311*Resource!$K56/Resource!$L56)</f>
        <v>0</v>
      </c>
      <c r="R247" s="31"/>
      <c r="S247" s="11">
        <f t="shared" si="10"/>
        <v>0</v>
      </c>
      <c r="T247" s="2">
        <f>Resource!K56</f>
        <v>0</v>
      </c>
    </row>
    <row r="248" spans="1:20">
      <c r="A248" s="146">
        <v>15</v>
      </c>
      <c r="B248" s="31"/>
      <c r="C248" s="31"/>
      <c r="D248" s="31"/>
      <c r="E248" s="31">
        <f>IF(Resource!$L57=0,0,E312*Resource!$K57/Resource!$L57)</f>
        <v>0</v>
      </c>
      <c r="F248" s="31">
        <f>IF(Resource!$L57=0,0,F312*Resource!$K57/Resource!$L57)</f>
        <v>0</v>
      </c>
      <c r="G248" s="31">
        <f>IF(Resource!$L57=0,0,G312*Resource!$K57/Resource!$L57)</f>
        <v>0</v>
      </c>
      <c r="H248" s="31">
        <f>IF(Resource!$L57=0,0,H312*Resource!$K57/Resource!$L57)</f>
        <v>0</v>
      </c>
      <c r="I248" s="31">
        <f>IF(Resource!$L57=0,0,I312*Resource!$K57/Resource!$L57)</f>
        <v>0</v>
      </c>
      <c r="J248" s="31">
        <f>IF(Resource!$L57=0,0,J312*Resource!$K57/Resource!$L57)</f>
        <v>0</v>
      </c>
      <c r="K248" s="31">
        <f>IF(Resource!$L57=0,0,K312*Resource!$K57/Resource!$L57)</f>
        <v>0</v>
      </c>
      <c r="L248" s="31">
        <f>IF(Resource!$L57=0,0,L312*Resource!$K57/Resource!$L57)</f>
        <v>0</v>
      </c>
      <c r="M248" s="31">
        <f>IF(Resource!$L57=0,0,M312*Resource!$K57/Resource!$L57)</f>
        <v>0</v>
      </c>
      <c r="N248" s="31">
        <f>IF(Resource!$L57=0,0,N312*Resource!$K57/Resource!$L57)</f>
        <v>0</v>
      </c>
      <c r="O248" s="31">
        <f>IF(Resource!$L57=0,0,O312*Resource!$K57/Resource!$L57)</f>
        <v>0</v>
      </c>
      <c r="P248" s="31">
        <f>IF(Resource!$L57=0,0,P312*Resource!$K57/Resource!$L57)</f>
        <v>0</v>
      </c>
      <c r="Q248" s="31">
        <f>IF(Resource!$L57=0,0,Q312*Resource!$K57/Resource!$L57)</f>
        <v>0</v>
      </c>
      <c r="R248" s="31"/>
      <c r="S248" s="11">
        <f t="shared" si="10"/>
        <v>0</v>
      </c>
      <c r="T248" s="2">
        <f>Resource!K57</f>
        <v>0</v>
      </c>
    </row>
    <row r="249" spans="1:20">
      <c r="A249" s="146">
        <v>10</v>
      </c>
      <c r="B249" s="31"/>
      <c r="C249" s="31"/>
      <c r="D249" s="31"/>
      <c r="E249" s="31">
        <f>IF(Resource!$L58=0,0,E313*Resource!$K58/Resource!$L58)</f>
        <v>0</v>
      </c>
      <c r="F249" s="31">
        <f>IF(Resource!$L58=0,0,F313*Resource!$K58/Resource!$L58)</f>
        <v>0</v>
      </c>
      <c r="G249" s="31">
        <f>IF(Resource!$L58=0,0,G313*Resource!$K58/Resource!$L58)</f>
        <v>0</v>
      </c>
      <c r="H249" s="31">
        <f>IF(Resource!$L58=0,0,H313*Resource!$K58/Resource!$L58)</f>
        <v>0</v>
      </c>
      <c r="I249" s="31">
        <f>IF(Resource!$L58=0,0,I313*Resource!$K58/Resource!$L58)</f>
        <v>0</v>
      </c>
      <c r="J249" s="31">
        <f>IF(Resource!$L58=0,0,J313*Resource!$K58/Resource!$L58)</f>
        <v>0</v>
      </c>
      <c r="K249" s="31">
        <f>IF(Resource!$L58=0,0,K313*Resource!$K58/Resource!$L58)</f>
        <v>0</v>
      </c>
      <c r="L249" s="31">
        <f>IF(Resource!$L58=0,0,L313*Resource!$K58/Resource!$L58)</f>
        <v>0</v>
      </c>
      <c r="M249" s="31">
        <f>IF(Resource!$L58=0,0,M313*Resource!$K58/Resource!$L58)</f>
        <v>0</v>
      </c>
      <c r="N249" s="31">
        <f>IF(Resource!$L58=0,0,N313*Resource!$K58/Resource!$L58)</f>
        <v>0</v>
      </c>
      <c r="O249" s="31">
        <f>IF(Resource!$L58=0,0,O313*Resource!$K58/Resource!$L58)</f>
        <v>0</v>
      </c>
      <c r="P249" s="31">
        <f>IF(Resource!$L58=0,0,P313*Resource!$K58/Resource!$L58)</f>
        <v>0</v>
      </c>
      <c r="Q249" s="31">
        <f>IF(Resource!$L58=0,0,Q313*Resource!$K58/Resource!$L58)</f>
        <v>0</v>
      </c>
      <c r="R249" s="31"/>
      <c r="S249" s="11">
        <f t="shared" si="10"/>
        <v>0</v>
      </c>
      <c r="T249" s="2">
        <f>Resource!K58</f>
        <v>0</v>
      </c>
    </row>
    <row r="250" spans="1:20">
      <c r="A250" s="146">
        <v>5</v>
      </c>
      <c r="B250" s="31"/>
      <c r="C250" s="31"/>
      <c r="D250" s="31"/>
      <c r="E250" s="31">
        <f>IF(Resource!$L59=0,0,E314*Resource!$K59/Resource!$L59)</f>
        <v>0</v>
      </c>
      <c r="F250" s="31">
        <f>IF(Resource!$L59=0,0,F314*Resource!$K59/Resource!$L59)</f>
        <v>0</v>
      </c>
      <c r="G250" s="31">
        <f>IF(Resource!$L59=0,0,G314*Resource!$K59/Resource!$L59)</f>
        <v>0</v>
      </c>
      <c r="H250" s="31">
        <f>IF(Resource!$L59=0,0,H314*Resource!$K59/Resource!$L59)</f>
        <v>0</v>
      </c>
      <c r="I250" s="31">
        <f>IF(Resource!$L59=0,0,I314*Resource!$K59/Resource!$L59)</f>
        <v>0</v>
      </c>
      <c r="J250" s="31">
        <f>IF(Resource!$L59=0,0,J314*Resource!$K59/Resource!$L59)</f>
        <v>0</v>
      </c>
      <c r="K250" s="31">
        <f>IF(Resource!$L59=0,0,K314*Resource!$K59/Resource!$L59)</f>
        <v>0</v>
      </c>
      <c r="L250" s="31">
        <f>IF(Resource!$L59=0,0,L314*Resource!$K59/Resource!$L59)</f>
        <v>0</v>
      </c>
      <c r="M250" s="31">
        <f>IF(Resource!$L59=0,0,M314*Resource!$K59/Resource!$L59)</f>
        <v>0</v>
      </c>
      <c r="N250" s="31">
        <f>IF(Resource!$L59=0,0,N314*Resource!$K59/Resource!$L59)</f>
        <v>0</v>
      </c>
      <c r="O250" s="31">
        <f>IF(Resource!$L59=0,0,O314*Resource!$K59/Resource!$L59)</f>
        <v>0</v>
      </c>
      <c r="P250" s="31">
        <f>IF(Resource!$L59=0,0,P314*Resource!$K59/Resource!$L59)</f>
        <v>0</v>
      </c>
      <c r="Q250" s="31">
        <f>IF(Resource!$L59=0,0,Q314*Resource!$K59/Resource!$L59)</f>
        <v>0</v>
      </c>
      <c r="R250" s="31"/>
      <c r="S250" s="11">
        <f t="shared" si="10"/>
        <v>0</v>
      </c>
      <c r="T250" s="2">
        <f>Resource!K59</f>
        <v>0</v>
      </c>
    </row>
    <row r="251" spans="1:20">
      <c r="A251" s="146">
        <v>0</v>
      </c>
      <c r="B251" s="31"/>
      <c r="C251" s="31"/>
      <c r="D251" s="31"/>
      <c r="E251" s="31">
        <f>IF(Resource!$L60=0,0,E315*Resource!$K60/Resource!$L60)</f>
        <v>0</v>
      </c>
      <c r="F251" s="31">
        <f>IF(Resource!$L60=0,0,F315*Resource!$K60/Resource!$L60)</f>
        <v>0</v>
      </c>
      <c r="G251" s="31">
        <f>IF(Resource!$L60=0,0,G315*Resource!$K60/Resource!$L60)</f>
        <v>0</v>
      </c>
      <c r="H251" s="31">
        <f>IF(Resource!$L60=0,0,H315*Resource!$K60/Resource!$L60)</f>
        <v>0</v>
      </c>
      <c r="I251" s="31">
        <f>IF(Resource!$L60=0,0,I315*Resource!$K60/Resource!$L60)</f>
        <v>0</v>
      </c>
      <c r="J251" s="31">
        <f>IF(Resource!$L60=0,0,J315*Resource!$K60/Resource!$L60)</f>
        <v>0</v>
      </c>
      <c r="K251" s="31">
        <f>IF(Resource!$L60=0,0,K315*Resource!$K60/Resource!$L60)</f>
        <v>0</v>
      </c>
      <c r="L251" s="31">
        <f>IF(Resource!$L60=0,0,L315*Resource!$K60/Resource!$L60)</f>
        <v>0</v>
      </c>
      <c r="M251" s="31">
        <f>IF(Resource!$L60=0,0,M315*Resource!$K60/Resource!$L60)</f>
        <v>0</v>
      </c>
      <c r="N251" s="31">
        <f>IF(Resource!$L60=0,0,N315*Resource!$K60/Resource!$L60)</f>
        <v>0</v>
      </c>
      <c r="O251" s="31">
        <f>IF(Resource!$L60=0,0,O315*Resource!$K60/Resource!$L60)</f>
        <v>0</v>
      </c>
      <c r="P251" s="31">
        <f>IF(Resource!$L60=0,0,P315*Resource!$K60/Resource!$L60)</f>
        <v>0</v>
      </c>
      <c r="Q251" s="31">
        <f>IF(Resource!$L60=0,0,Q315*Resource!$K60/Resource!$L60)</f>
        <v>0</v>
      </c>
      <c r="R251" s="31"/>
      <c r="S251" s="11">
        <f t="shared" si="10"/>
        <v>0</v>
      </c>
      <c r="T251" s="2">
        <f>Resource!K60</f>
        <v>0</v>
      </c>
    </row>
    <row r="252" spans="1:20">
      <c r="A252" s="39" t="s">
        <v>5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11"/>
      <c r="T252" s="2"/>
    </row>
    <row r="253" spans="1:20">
      <c r="A253" s="5" t="s">
        <v>295</v>
      </c>
      <c r="B253" s="91">
        <f>SUM(B201:B251)</f>
        <v>0</v>
      </c>
      <c r="C253" s="91">
        <f t="shared" ref="C253:Q253" si="11">SUM(C201:C251)</f>
        <v>0</v>
      </c>
      <c r="D253" s="91">
        <f t="shared" si="11"/>
        <v>0</v>
      </c>
      <c r="E253" s="91">
        <f t="shared" si="11"/>
        <v>83195.95621748516</v>
      </c>
      <c r="F253" s="91">
        <f t="shared" si="11"/>
        <v>114713.96655433523</v>
      </c>
      <c r="G253" s="91">
        <f t="shared" si="11"/>
        <v>102292.2508949051</v>
      </c>
      <c r="H253" s="91">
        <f t="shared" si="11"/>
        <v>100144.42174761658</v>
      </c>
      <c r="I253" s="91">
        <f t="shared" si="11"/>
        <v>100728.90384925927</v>
      </c>
      <c r="J253" s="91">
        <f t="shared" si="11"/>
        <v>101159.05327100038</v>
      </c>
      <c r="K253" s="91">
        <f t="shared" si="11"/>
        <v>102824.16538736425</v>
      </c>
      <c r="L253" s="91">
        <f t="shared" si="11"/>
        <v>100421.71913121705</v>
      </c>
      <c r="M253" s="91">
        <f t="shared" si="11"/>
        <v>101504.31017769457</v>
      </c>
      <c r="N253" s="91">
        <f t="shared" si="11"/>
        <v>104068.35574427506</v>
      </c>
      <c r="O253" s="91">
        <f t="shared" si="11"/>
        <v>106797.29098655735</v>
      </c>
      <c r="P253" s="91">
        <f t="shared" si="11"/>
        <v>108021.14065095609</v>
      </c>
      <c r="Q253" s="91">
        <f t="shared" si="11"/>
        <v>161603.46538733397</v>
      </c>
      <c r="R253" s="91"/>
      <c r="S253" s="92">
        <f>SUM(B253:R253)</f>
        <v>1387475</v>
      </c>
      <c r="T253" s="2">
        <f>Resource!K63</f>
        <v>1387475</v>
      </c>
    </row>
    <row r="254" spans="1:20">
      <c r="A254" s="8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8"/>
      <c r="T254" s="2"/>
    </row>
    <row r="255" spans="1:20">
      <c r="T255" s="2"/>
    </row>
    <row r="257" spans="1:21">
      <c r="A257" s="13" t="s">
        <v>0</v>
      </c>
      <c r="B257" s="77"/>
      <c r="C257" s="77"/>
      <c r="D257" s="7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5"/>
    </row>
    <row r="258" spans="1:21">
      <c r="A258" s="16" t="str">
        <f>Title!$F$10</f>
        <v>ARTHUR RIVER MAGNESITE PROJECT</v>
      </c>
      <c r="B258" s="78"/>
      <c r="C258" s="78"/>
      <c r="D258" s="78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</row>
    <row r="259" spans="1:21">
      <c r="A259" s="16" t="str">
        <f>Title!$F$12</f>
        <v>ORDER OF MAGNITUDE COST STUDY: CALCINE PRODUCTION ONLY</v>
      </c>
      <c r="B259" s="78"/>
      <c r="C259" s="78"/>
      <c r="D259" s="78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</row>
    <row r="260" spans="1:21">
      <c r="A260" s="19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 t="str">
        <f>Title!$F$19</f>
        <v>3 October 2011</v>
      </c>
      <c r="S260" s="18"/>
    </row>
    <row r="261" spans="1:21">
      <c r="A261" s="20" t="s">
        <v>288</v>
      </c>
      <c r="B261" s="79"/>
      <c r="C261" s="79"/>
      <c r="D261" s="79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</row>
    <row r="262" spans="1:21">
      <c r="A262" s="46"/>
      <c r="B262" s="41" t="s">
        <v>26</v>
      </c>
      <c r="C262" s="41" t="s">
        <v>26</v>
      </c>
      <c r="D262" s="41" t="s">
        <v>26</v>
      </c>
      <c r="E262" s="41" t="s">
        <v>26</v>
      </c>
      <c r="F262" s="41" t="s">
        <v>26</v>
      </c>
      <c r="G262" s="41" t="s">
        <v>26</v>
      </c>
      <c r="H262" s="41" t="s">
        <v>26</v>
      </c>
      <c r="I262" s="41" t="s">
        <v>26</v>
      </c>
      <c r="J262" s="41" t="s">
        <v>26</v>
      </c>
      <c r="K262" s="41" t="s">
        <v>26</v>
      </c>
      <c r="L262" s="41" t="s">
        <v>26</v>
      </c>
      <c r="M262" s="41" t="s">
        <v>26</v>
      </c>
      <c r="N262" s="41" t="s">
        <v>26</v>
      </c>
      <c r="O262" s="41" t="s">
        <v>26</v>
      </c>
      <c r="P262" s="41" t="s">
        <v>26</v>
      </c>
      <c r="Q262" s="41" t="s">
        <v>26</v>
      </c>
      <c r="R262" s="41"/>
      <c r="S262" s="42" t="s">
        <v>5</v>
      </c>
      <c r="T262" s="174" t="s">
        <v>32</v>
      </c>
      <c r="U262" s="175" t="s">
        <v>247</v>
      </c>
    </row>
    <row r="263" spans="1:21">
      <c r="A263" s="8"/>
      <c r="B263" s="43">
        <v>-3</v>
      </c>
      <c r="C263" s="43">
        <v>-2</v>
      </c>
      <c r="D263" s="43">
        <v>-1</v>
      </c>
      <c r="E263" s="43">
        <v>1</v>
      </c>
      <c r="F263" s="43">
        <v>2</v>
      </c>
      <c r="G263" s="43">
        <v>3</v>
      </c>
      <c r="H263" s="43">
        <v>4</v>
      </c>
      <c r="I263" s="43">
        <v>5</v>
      </c>
      <c r="J263" s="43">
        <v>6</v>
      </c>
      <c r="K263" s="43">
        <v>7</v>
      </c>
      <c r="L263" s="43">
        <v>8</v>
      </c>
      <c r="M263" s="43">
        <v>9</v>
      </c>
      <c r="N263" s="43">
        <v>10</v>
      </c>
      <c r="O263" s="43">
        <v>11</v>
      </c>
      <c r="P263" s="43">
        <v>12</v>
      </c>
      <c r="Q263" s="43">
        <v>13</v>
      </c>
      <c r="R263" s="43"/>
      <c r="S263" s="47"/>
    </row>
    <row r="264" spans="1:21">
      <c r="A264" s="39" t="s">
        <v>178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6"/>
    </row>
    <row r="265" spans="1:21">
      <c r="A265" s="139">
        <v>195</v>
      </c>
      <c r="B265" s="31"/>
      <c r="C265" s="31"/>
      <c r="D265" s="31"/>
      <c r="E265" s="31">
        <f>E395-D330+E330</f>
        <v>0</v>
      </c>
      <c r="F265" s="31">
        <f t="shared" ref="F265:Q265" si="12">F395-E330+F330</f>
        <v>0</v>
      </c>
      <c r="G265" s="31">
        <f t="shared" si="12"/>
        <v>0</v>
      </c>
      <c r="H265" s="31">
        <f t="shared" si="12"/>
        <v>0</v>
      </c>
      <c r="I265" s="31">
        <f t="shared" si="12"/>
        <v>0</v>
      </c>
      <c r="J265" s="31">
        <f t="shared" si="12"/>
        <v>0</v>
      </c>
      <c r="K265" s="31">
        <f t="shared" si="12"/>
        <v>0</v>
      </c>
      <c r="L265" s="31">
        <f t="shared" si="12"/>
        <v>0</v>
      </c>
      <c r="M265" s="31">
        <f t="shared" si="12"/>
        <v>0</v>
      </c>
      <c r="N265" s="31">
        <f t="shared" si="12"/>
        <v>0</v>
      </c>
      <c r="O265" s="31">
        <f t="shared" si="12"/>
        <v>0</v>
      </c>
      <c r="P265" s="31">
        <f t="shared" si="12"/>
        <v>0</v>
      </c>
      <c r="Q265" s="31">
        <f t="shared" si="12"/>
        <v>0</v>
      </c>
      <c r="R265" s="31"/>
      <c r="S265" s="11">
        <f t="shared" ref="S265:S282" si="13">SUM(B265:R265)</f>
        <v>0</v>
      </c>
      <c r="T265" s="2">
        <f>Resource!L10</f>
        <v>0</v>
      </c>
      <c r="U265" s="176">
        <f>Resource!M10/100</f>
        <v>0</v>
      </c>
    </row>
    <row r="266" spans="1:21">
      <c r="A266" s="141">
        <v>190</v>
      </c>
      <c r="B266" s="31"/>
      <c r="C266" s="31"/>
      <c r="D266" s="31"/>
      <c r="E266" s="31">
        <f t="shared" ref="E266:Q282" si="14">E396-D331+E331</f>
        <v>0</v>
      </c>
      <c r="F266" s="31">
        <f t="shared" si="14"/>
        <v>0</v>
      </c>
      <c r="G266" s="31">
        <f t="shared" si="14"/>
        <v>0</v>
      </c>
      <c r="H266" s="31">
        <f t="shared" si="14"/>
        <v>0</v>
      </c>
      <c r="I266" s="31">
        <f t="shared" si="14"/>
        <v>0</v>
      </c>
      <c r="J266" s="31">
        <f t="shared" si="14"/>
        <v>0</v>
      </c>
      <c r="K266" s="31">
        <f t="shared" si="14"/>
        <v>0</v>
      </c>
      <c r="L266" s="31">
        <f t="shared" si="14"/>
        <v>0</v>
      </c>
      <c r="M266" s="31">
        <f t="shared" si="14"/>
        <v>0</v>
      </c>
      <c r="N266" s="31">
        <f t="shared" si="14"/>
        <v>0</v>
      </c>
      <c r="O266" s="31">
        <f t="shared" si="14"/>
        <v>0</v>
      </c>
      <c r="P266" s="31">
        <f t="shared" si="14"/>
        <v>0</v>
      </c>
      <c r="Q266" s="31">
        <f t="shared" si="14"/>
        <v>0</v>
      </c>
      <c r="R266" s="31"/>
      <c r="S266" s="11">
        <f t="shared" si="13"/>
        <v>0</v>
      </c>
      <c r="T266" s="2">
        <f>Resource!L11</f>
        <v>0</v>
      </c>
      <c r="U266" s="176">
        <f>Resource!M11/100</f>
        <v>0</v>
      </c>
    </row>
    <row r="267" spans="1:21">
      <c r="A267" s="141">
        <v>185</v>
      </c>
      <c r="B267" s="31"/>
      <c r="C267" s="31"/>
      <c r="D267" s="31"/>
      <c r="E267" s="31">
        <f t="shared" si="14"/>
        <v>0</v>
      </c>
      <c r="F267" s="31">
        <f t="shared" si="14"/>
        <v>0</v>
      </c>
      <c r="G267" s="31">
        <f t="shared" si="14"/>
        <v>0</v>
      </c>
      <c r="H267" s="31">
        <f t="shared" si="14"/>
        <v>0</v>
      </c>
      <c r="I267" s="31">
        <f t="shared" si="14"/>
        <v>0</v>
      </c>
      <c r="J267" s="31">
        <f t="shared" si="14"/>
        <v>0</v>
      </c>
      <c r="K267" s="31">
        <f t="shared" si="14"/>
        <v>0</v>
      </c>
      <c r="L267" s="31">
        <f t="shared" si="14"/>
        <v>0</v>
      </c>
      <c r="M267" s="31">
        <f t="shared" si="14"/>
        <v>0</v>
      </c>
      <c r="N267" s="31">
        <f t="shared" si="14"/>
        <v>0</v>
      </c>
      <c r="O267" s="31">
        <f t="shared" si="14"/>
        <v>0</v>
      </c>
      <c r="P267" s="31">
        <f t="shared" si="14"/>
        <v>0</v>
      </c>
      <c r="Q267" s="31">
        <f t="shared" si="14"/>
        <v>0</v>
      </c>
      <c r="R267" s="31"/>
      <c r="S267" s="11">
        <f t="shared" si="13"/>
        <v>0</v>
      </c>
      <c r="T267" s="2">
        <f>Resource!L12</f>
        <v>0</v>
      </c>
      <c r="U267" s="176">
        <f>Resource!M12/100</f>
        <v>0</v>
      </c>
    </row>
    <row r="268" spans="1:21">
      <c r="A268" s="141">
        <v>180</v>
      </c>
      <c r="B268" s="31"/>
      <c r="C268" s="31"/>
      <c r="D268" s="31"/>
      <c r="E268" s="31">
        <f t="shared" si="14"/>
        <v>0</v>
      </c>
      <c r="F268" s="31">
        <f t="shared" si="14"/>
        <v>0</v>
      </c>
      <c r="G268" s="31">
        <f t="shared" si="14"/>
        <v>0</v>
      </c>
      <c r="H268" s="31">
        <f t="shared" si="14"/>
        <v>0</v>
      </c>
      <c r="I268" s="31">
        <f t="shared" si="14"/>
        <v>0</v>
      </c>
      <c r="J268" s="31">
        <f t="shared" si="14"/>
        <v>0</v>
      </c>
      <c r="K268" s="31">
        <f t="shared" si="14"/>
        <v>0</v>
      </c>
      <c r="L268" s="31">
        <f t="shared" si="14"/>
        <v>0</v>
      </c>
      <c r="M268" s="31">
        <f t="shared" si="14"/>
        <v>0</v>
      </c>
      <c r="N268" s="31">
        <f t="shared" si="14"/>
        <v>0</v>
      </c>
      <c r="O268" s="31">
        <f t="shared" si="14"/>
        <v>0</v>
      </c>
      <c r="P268" s="31">
        <f t="shared" si="14"/>
        <v>0</v>
      </c>
      <c r="Q268" s="31">
        <f t="shared" si="14"/>
        <v>0</v>
      </c>
      <c r="R268" s="31"/>
      <c r="S268" s="11">
        <f t="shared" si="13"/>
        <v>0</v>
      </c>
      <c r="T268" s="2">
        <f>Resource!L13</f>
        <v>0</v>
      </c>
      <c r="U268" s="176">
        <f>Resource!M13/100</f>
        <v>0</v>
      </c>
    </row>
    <row r="269" spans="1:21">
      <c r="A269" s="141">
        <v>175</v>
      </c>
      <c r="B269" s="31"/>
      <c r="C269" s="31"/>
      <c r="D269" s="31"/>
      <c r="E269" s="31">
        <f t="shared" si="14"/>
        <v>0</v>
      </c>
      <c r="F269" s="31">
        <f t="shared" si="14"/>
        <v>0</v>
      </c>
      <c r="G269" s="31">
        <f t="shared" si="14"/>
        <v>0</v>
      </c>
      <c r="H269" s="31">
        <f t="shared" si="14"/>
        <v>0</v>
      </c>
      <c r="I269" s="31">
        <f t="shared" si="14"/>
        <v>0</v>
      </c>
      <c r="J269" s="31">
        <f t="shared" si="14"/>
        <v>0</v>
      </c>
      <c r="K269" s="31">
        <f t="shared" si="14"/>
        <v>0</v>
      </c>
      <c r="L269" s="31">
        <f t="shared" si="14"/>
        <v>0</v>
      </c>
      <c r="M269" s="31">
        <f t="shared" si="14"/>
        <v>0</v>
      </c>
      <c r="N269" s="31">
        <f t="shared" si="14"/>
        <v>0</v>
      </c>
      <c r="O269" s="31">
        <f t="shared" si="14"/>
        <v>0</v>
      </c>
      <c r="P269" s="31">
        <f t="shared" si="14"/>
        <v>0</v>
      </c>
      <c r="Q269" s="31">
        <f t="shared" si="14"/>
        <v>0</v>
      </c>
      <c r="R269" s="31"/>
      <c r="S269" s="11">
        <f t="shared" si="13"/>
        <v>0</v>
      </c>
      <c r="T269" s="2">
        <f>Resource!L14</f>
        <v>0</v>
      </c>
      <c r="U269" s="176">
        <f>Resource!M14/100</f>
        <v>0</v>
      </c>
    </row>
    <row r="270" spans="1:21">
      <c r="A270" s="141">
        <v>170</v>
      </c>
      <c r="B270" s="31"/>
      <c r="C270" s="31"/>
      <c r="D270" s="31"/>
      <c r="E270" s="31">
        <f t="shared" si="14"/>
        <v>0</v>
      </c>
      <c r="F270" s="31">
        <f t="shared" si="14"/>
        <v>0</v>
      </c>
      <c r="G270" s="31">
        <f t="shared" si="14"/>
        <v>0</v>
      </c>
      <c r="H270" s="31">
        <f t="shared" si="14"/>
        <v>0</v>
      </c>
      <c r="I270" s="31">
        <f t="shared" si="14"/>
        <v>0</v>
      </c>
      <c r="J270" s="31">
        <f t="shared" si="14"/>
        <v>0</v>
      </c>
      <c r="K270" s="31">
        <f t="shared" si="14"/>
        <v>0</v>
      </c>
      <c r="L270" s="31">
        <f t="shared" si="14"/>
        <v>0</v>
      </c>
      <c r="M270" s="31">
        <f t="shared" si="14"/>
        <v>0</v>
      </c>
      <c r="N270" s="31">
        <f t="shared" si="14"/>
        <v>0</v>
      </c>
      <c r="O270" s="31">
        <f t="shared" si="14"/>
        <v>0</v>
      </c>
      <c r="P270" s="31">
        <f t="shared" si="14"/>
        <v>0</v>
      </c>
      <c r="Q270" s="31">
        <f t="shared" si="14"/>
        <v>0</v>
      </c>
      <c r="R270" s="31"/>
      <c r="S270" s="11">
        <f t="shared" si="13"/>
        <v>0</v>
      </c>
      <c r="T270" s="2">
        <f>Resource!L15</f>
        <v>0</v>
      </c>
      <c r="U270" s="176">
        <f>Resource!M15/100</f>
        <v>0</v>
      </c>
    </row>
    <row r="271" spans="1:21">
      <c r="A271" s="146">
        <v>165</v>
      </c>
      <c r="B271" s="31"/>
      <c r="C271" s="31"/>
      <c r="D271" s="31"/>
      <c r="E271" s="31">
        <f t="shared" si="14"/>
        <v>0</v>
      </c>
      <c r="F271" s="31">
        <f t="shared" si="14"/>
        <v>0</v>
      </c>
      <c r="G271" s="31">
        <f t="shared" si="14"/>
        <v>0</v>
      </c>
      <c r="H271" s="31">
        <f t="shared" si="14"/>
        <v>0</v>
      </c>
      <c r="I271" s="31">
        <f t="shared" si="14"/>
        <v>0</v>
      </c>
      <c r="J271" s="31">
        <f t="shared" si="14"/>
        <v>0</v>
      </c>
      <c r="K271" s="31">
        <f t="shared" si="14"/>
        <v>0</v>
      </c>
      <c r="L271" s="31">
        <f t="shared" si="14"/>
        <v>0</v>
      </c>
      <c r="M271" s="31">
        <f t="shared" si="14"/>
        <v>0</v>
      </c>
      <c r="N271" s="31">
        <f t="shared" si="14"/>
        <v>0</v>
      </c>
      <c r="O271" s="31">
        <f t="shared" si="14"/>
        <v>0</v>
      </c>
      <c r="P271" s="31">
        <f t="shared" si="14"/>
        <v>0</v>
      </c>
      <c r="Q271" s="31">
        <f t="shared" si="14"/>
        <v>0</v>
      </c>
      <c r="R271" s="31"/>
      <c r="S271" s="11">
        <f t="shared" si="13"/>
        <v>0</v>
      </c>
      <c r="T271" s="2">
        <f>Resource!L16</f>
        <v>0</v>
      </c>
      <c r="U271" s="176">
        <f>Resource!M16/100</f>
        <v>0</v>
      </c>
    </row>
    <row r="272" spans="1:21">
      <c r="A272" s="146">
        <v>160</v>
      </c>
      <c r="B272" s="31"/>
      <c r="C272" s="31"/>
      <c r="D272" s="31"/>
      <c r="E272" s="31">
        <f t="shared" si="14"/>
        <v>0</v>
      </c>
      <c r="F272" s="31">
        <f t="shared" si="14"/>
        <v>0</v>
      </c>
      <c r="G272" s="31">
        <f t="shared" si="14"/>
        <v>0</v>
      </c>
      <c r="H272" s="31">
        <f t="shared" si="14"/>
        <v>0</v>
      </c>
      <c r="I272" s="31">
        <f t="shared" si="14"/>
        <v>0</v>
      </c>
      <c r="J272" s="31">
        <f t="shared" si="14"/>
        <v>0</v>
      </c>
      <c r="K272" s="31">
        <f t="shared" si="14"/>
        <v>0</v>
      </c>
      <c r="L272" s="31">
        <f t="shared" si="14"/>
        <v>0</v>
      </c>
      <c r="M272" s="31">
        <f t="shared" si="14"/>
        <v>0</v>
      </c>
      <c r="N272" s="31">
        <f t="shared" si="14"/>
        <v>0</v>
      </c>
      <c r="O272" s="31">
        <f t="shared" si="14"/>
        <v>0</v>
      </c>
      <c r="P272" s="31">
        <f t="shared" si="14"/>
        <v>0</v>
      </c>
      <c r="Q272" s="31">
        <f t="shared" si="14"/>
        <v>0</v>
      </c>
      <c r="R272" s="31"/>
      <c r="S272" s="11">
        <f t="shared" si="13"/>
        <v>0</v>
      </c>
      <c r="T272" s="2">
        <f>Resource!L17</f>
        <v>0</v>
      </c>
      <c r="U272" s="176">
        <f>Resource!M17/100</f>
        <v>0</v>
      </c>
    </row>
    <row r="273" spans="1:21">
      <c r="A273" s="146">
        <v>155</v>
      </c>
      <c r="B273" s="31"/>
      <c r="C273" s="31"/>
      <c r="D273" s="31"/>
      <c r="E273" s="31">
        <f t="shared" si="14"/>
        <v>61560</v>
      </c>
      <c r="F273" s="31">
        <f t="shared" si="14"/>
        <v>0</v>
      </c>
      <c r="G273" s="31">
        <f t="shared" si="14"/>
        <v>0</v>
      </c>
      <c r="H273" s="31">
        <f t="shared" si="14"/>
        <v>0</v>
      </c>
      <c r="I273" s="31">
        <f t="shared" si="14"/>
        <v>0</v>
      </c>
      <c r="J273" s="31">
        <f t="shared" si="14"/>
        <v>0</v>
      </c>
      <c r="K273" s="31">
        <f t="shared" si="14"/>
        <v>0</v>
      </c>
      <c r="L273" s="31">
        <f t="shared" si="14"/>
        <v>0</v>
      </c>
      <c r="M273" s="31">
        <f t="shared" si="14"/>
        <v>0</v>
      </c>
      <c r="N273" s="31">
        <f t="shared" si="14"/>
        <v>0</v>
      </c>
      <c r="O273" s="31">
        <f t="shared" si="14"/>
        <v>0</v>
      </c>
      <c r="P273" s="31">
        <f t="shared" si="14"/>
        <v>0</v>
      </c>
      <c r="Q273" s="31">
        <f t="shared" si="14"/>
        <v>0</v>
      </c>
      <c r="R273" s="31"/>
      <c r="S273" s="11">
        <f t="shared" si="13"/>
        <v>61560</v>
      </c>
      <c r="T273" s="2">
        <f>Resource!L18</f>
        <v>61560</v>
      </c>
      <c r="U273" s="176">
        <f>Resource!M18/100</f>
        <v>0.44299999999999995</v>
      </c>
    </row>
    <row r="274" spans="1:21">
      <c r="A274" s="146">
        <v>150</v>
      </c>
      <c r="B274" s="31"/>
      <c r="C274" s="31"/>
      <c r="D274" s="31"/>
      <c r="E274" s="31">
        <f t="shared" si="14"/>
        <v>96026</v>
      </c>
      <c r="F274" s="31">
        <f t="shared" si="14"/>
        <v>0</v>
      </c>
      <c r="G274" s="31">
        <f t="shared" si="14"/>
        <v>0</v>
      </c>
      <c r="H274" s="31">
        <f t="shared" si="14"/>
        <v>0</v>
      </c>
      <c r="I274" s="31">
        <f t="shared" si="14"/>
        <v>0</v>
      </c>
      <c r="J274" s="31">
        <f t="shared" si="14"/>
        <v>0</v>
      </c>
      <c r="K274" s="31">
        <f t="shared" si="14"/>
        <v>0</v>
      </c>
      <c r="L274" s="31">
        <f t="shared" si="14"/>
        <v>0</v>
      </c>
      <c r="M274" s="31">
        <f t="shared" si="14"/>
        <v>0</v>
      </c>
      <c r="N274" s="31">
        <f t="shared" si="14"/>
        <v>0</v>
      </c>
      <c r="O274" s="31">
        <f t="shared" si="14"/>
        <v>0</v>
      </c>
      <c r="P274" s="31">
        <f t="shared" si="14"/>
        <v>0</v>
      </c>
      <c r="Q274" s="31">
        <f t="shared" si="14"/>
        <v>0</v>
      </c>
      <c r="R274" s="31"/>
      <c r="S274" s="11">
        <f t="shared" si="13"/>
        <v>96026</v>
      </c>
      <c r="T274" s="2">
        <f>Resource!L19</f>
        <v>96026</v>
      </c>
      <c r="U274" s="176">
        <f>Resource!M19/100</f>
        <v>0.39128452710724171</v>
      </c>
    </row>
    <row r="275" spans="1:21">
      <c r="A275" s="146">
        <v>145</v>
      </c>
      <c r="B275" s="31"/>
      <c r="C275" s="31"/>
      <c r="D275" s="31"/>
      <c r="E275" s="31">
        <f t="shared" si="14"/>
        <v>82668.962932361843</v>
      </c>
      <c r="F275" s="31">
        <f t="shared" si="14"/>
        <v>60268.037067638164</v>
      </c>
      <c r="G275" s="31">
        <f t="shared" si="14"/>
        <v>0</v>
      </c>
      <c r="H275" s="31">
        <f t="shared" si="14"/>
        <v>0</v>
      </c>
      <c r="I275" s="31">
        <f t="shared" si="14"/>
        <v>0</v>
      </c>
      <c r="J275" s="31">
        <f t="shared" si="14"/>
        <v>0</v>
      </c>
      <c r="K275" s="31">
        <f t="shared" si="14"/>
        <v>0</v>
      </c>
      <c r="L275" s="31">
        <f t="shared" si="14"/>
        <v>0</v>
      </c>
      <c r="M275" s="31">
        <f t="shared" si="14"/>
        <v>0</v>
      </c>
      <c r="N275" s="31">
        <f t="shared" si="14"/>
        <v>0</v>
      </c>
      <c r="O275" s="31">
        <f t="shared" si="14"/>
        <v>0</v>
      </c>
      <c r="P275" s="31">
        <f t="shared" si="14"/>
        <v>0</v>
      </c>
      <c r="Q275" s="31">
        <f t="shared" si="14"/>
        <v>0</v>
      </c>
      <c r="R275" s="31"/>
      <c r="S275" s="11">
        <f t="shared" si="13"/>
        <v>142937</v>
      </c>
      <c r="T275" s="2">
        <f>Resource!L20</f>
        <v>142937</v>
      </c>
      <c r="U275" s="176">
        <f>Resource!M20/100</f>
        <v>0.35614302804732156</v>
      </c>
    </row>
    <row r="276" spans="1:21">
      <c r="A276" s="146">
        <v>140</v>
      </c>
      <c r="B276" s="31"/>
      <c r="C276" s="31"/>
      <c r="D276" s="31"/>
      <c r="E276" s="31">
        <f t="shared" si="14"/>
        <v>0</v>
      </c>
      <c r="F276" s="31">
        <f t="shared" si="14"/>
        <v>132325.5</v>
      </c>
      <c r="G276" s="31">
        <f t="shared" si="14"/>
        <v>0</v>
      </c>
      <c r="H276" s="31">
        <f t="shared" si="14"/>
        <v>0</v>
      </c>
      <c r="I276" s="31">
        <f t="shared" si="14"/>
        <v>0</v>
      </c>
      <c r="J276" s="31">
        <f t="shared" si="14"/>
        <v>0</v>
      </c>
      <c r="K276" s="31">
        <f t="shared" si="14"/>
        <v>0</v>
      </c>
      <c r="L276" s="31">
        <f t="shared" si="14"/>
        <v>0</v>
      </c>
      <c r="M276" s="31">
        <f t="shared" si="14"/>
        <v>0</v>
      </c>
      <c r="N276" s="31">
        <f t="shared" si="14"/>
        <v>0</v>
      </c>
      <c r="O276" s="31">
        <f t="shared" si="14"/>
        <v>0</v>
      </c>
      <c r="P276" s="31">
        <f t="shared" si="14"/>
        <v>0</v>
      </c>
      <c r="Q276" s="31">
        <f t="shared" si="14"/>
        <v>0</v>
      </c>
      <c r="R276" s="31"/>
      <c r="S276" s="11">
        <f t="shared" si="13"/>
        <v>132325.5</v>
      </c>
      <c r="T276" s="2">
        <f>Resource!L21</f>
        <v>132325.5</v>
      </c>
      <c r="U276" s="176">
        <f>Resource!M21/100</f>
        <v>0.30226663794960151</v>
      </c>
    </row>
    <row r="277" spans="1:21">
      <c r="A277" s="146">
        <v>135</v>
      </c>
      <c r="B277" s="31"/>
      <c r="C277" s="31"/>
      <c r="D277" s="31"/>
      <c r="E277" s="31">
        <f t="shared" si="14"/>
        <v>0</v>
      </c>
      <c r="F277" s="31">
        <f t="shared" si="14"/>
        <v>120650</v>
      </c>
      <c r="G277" s="31">
        <f t="shared" si="14"/>
        <v>0</v>
      </c>
      <c r="H277" s="31">
        <f t="shared" si="14"/>
        <v>0</v>
      </c>
      <c r="I277" s="31">
        <f t="shared" si="14"/>
        <v>0</v>
      </c>
      <c r="J277" s="31">
        <f t="shared" si="14"/>
        <v>0</v>
      </c>
      <c r="K277" s="31">
        <f t="shared" si="14"/>
        <v>0</v>
      </c>
      <c r="L277" s="31">
        <f t="shared" si="14"/>
        <v>0</v>
      </c>
      <c r="M277" s="31">
        <f t="shared" si="14"/>
        <v>0</v>
      </c>
      <c r="N277" s="31">
        <f t="shared" si="14"/>
        <v>0</v>
      </c>
      <c r="O277" s="31">
        <f t="shared" si="14"/>
        <v>0</v>
      </c>
      <c r="P277" s="31">
        <f t="shared" si="14"/>
        <v>0</v>
      </c>
      <c r="Q277" s="31">
        <f t="shared" si="14"/>
        <v>0</v>
      </c>
      <c r="R277" s="31"/>
      <c r="S277" s="11">
        <f t="shared" si="13"/>
        <v>120650</v>
      </c>
      <c r="T277" s="2">
        <f>Resource!L22</f>
        <v>120650</v>
      </c>
      <c r="U277" s="176">
        <f>Resource!M22/100</f>
        <v>0.40183937007874015</v>
      </c>
    </row>
    <row r="278" spans="1:21">
      <c r="A278" s="146">
        <v>130</v>
      </c>
      <c r="B278" s="31"/>
      <c r="C278" s="31"/>
      <c r="D278" s="31"/>
      <c r="E278" s="31">
        <f t="shared" si="14"/>
        <v>0</v>
      </c>
      <c r="F278" s="31">
        <f t="shared" si="14"/>
        <v>18699.27481254407</v>
      </c>
      <c r="G278" s="31">
        <f t="shared" si="14"/>
        <v>90873.725187455944</v>
      </c>
      <c r="H278" s="31">
        <f t="shared" si="14"/>
        <v>0</v>
      </c>
      <c r="I278" s="31">
        <f t="shared" si="14"/>
        <v>0</v>
      </c>
      <c r="J278" s="31">
        <f t="shared" si="14"/>
        <v>0</v>
      </c>
      <c r="K278" s="31">
        <f t="shared" si="14"/>
        <v>0</v>
      </c>
      <c r="L278" s="31">
        <f t="shared" si="14"/>
        <v>0</v>
      </c>
      <c r="M278" s="31">
        <f t="shared" si="14"/>
        <v>0</v>
      </c>
      <c r="N278" s="31">
        <f t="shared" si="14"/>
        <v>0</v>
      </c>
      <c r="O278" s="31">
        <f t="shared" si="14"/>
        <v>0</v>
      </c>
      <c r="P278" s="31">
        <f t="shared" si="14"/>
        <v>0</v>
      </c>
      <c r="Q278" s="31">
        <f t="shared" si="14"/>
        <v>0</v>
      </c>
      <c r="R278" s="31"/>
      <c r="S278" s="11">
        <f t="shared" si="13"/>
        <v>109573.00000000001</v>
      </c>
      <c r="T278" s="2">
        <f>Resource!L23</f>
        <v>109573</v>
      </c>
      <c r="U278" s="176">
        <f>Resource!M23/100</f>
        <v>0.42033917114617642</v>
      </c>
    </row>
    <row r="279" spans="1:21">
      <c r="A279" s="146">
        <v>125</v>
      </c>
      <c r="B279" s="31"/>
      <c r="C279" s="31"/>
      <c r="D279" s="31"/>
      <c r="E279" s="31">
        <f t="shared" si="14"/>
        <v>0</v>
      </c>
      <c r="F279" s="31">
        <f t="shared" si="14"/>
        <v>0</v>
      </c>
      <c r="G279" s="31">
        <f t="shared" si="14"/>
        <v>98895</v>
      </c>
      <c r="H279" s="31">
        <f t="shared" si="14"/>
        <v>0</v>
      </c>
      <c r="I279" s="31">
        <f t="shared" si="14"/>
        <v>0</v>
      </c>
      <c r="J279" s="31">
        <f t="shared" si="14"/>
        <v>0</v>
      </c>
      <c r="K279" s="31">
        <f t="shared" si="14"/>
        <v>0</v>
      </c>
      <c r="L279" s="31">
        <f t="shared" si="14"/>
        <v>0</v>
      </c>
      <c r="M279" s="31">
        <f t="shared" si="14"/>
        <v>0</v>
      </c>
      <c r="N279" s="31">
        <f t="shared" si="14"/>
        <v>0</v>
      </c>
      <c r="O279" s="31">
        <f t="shared" si="14"/>
        <v>0</v>
      </c>
      <c r="P279" s="31">
        <f t="shared" si="14"/>
        <v>0</v>
      </c>
      <c r="Q279" s="31">
        <f t="shared" si="14"/>
        <v>0</v>
      </c>
      <c r="R279" s="31"/>
      <c r="S279" s="11">
        <f t="shared" si="13"/>
        <v>98895</v>
      </c>
      <c r="T279" s="2">
        <f>Resource!L24</f>
        <v>98895</v>
      </c>
      <c r="U279" s="176">
        <f>Resource!M24/100</f>
        <v>0.36767723342939473</v>
      </c>
    </row>
    <row r="280" spans="1:21">
      <c r="A280" s="146">
        <v>120</v>
      </c>
      <c r="B280" s="31"/>
      <c r="C280" s="31"/>
      <c r="D280" s="31"/>
      <c r="E280" s="31">
        <f t="shared" si="14"/>
        <v>0</v>
      </c>
      <c r="F280" s="31">
        <f t="shared" si="14"/>
        <v>0</v>
      </c>
      <c r="G280" s="31">
        <f t="shared" si="14"/>
        <v>0</v>
      </c>
      <c r="H280" s="31">
        <f t="shared" si="14"/>
        <v>0</v>
      </c>
      <c r="I280" s="31">
        <f t="shared" si="14"/>
        <v>0</v>
      </c>
      <c r="J280" s="31">
        <f t="shared" si="14"/>
        <v>0</v>
      </c>
      <c r="K280" s="31">
        <f t="shared" si="14"/>
        <v>0</v>
      </c>
      <c r="L280" s="31">
        <f t="shared" si="14"/>
        <v>0</v>
      </c>
      <c r="M280" s="31">
        <f t="shared" si="14"/>
        <v>0</v>
      </c>
      <c r="N280" s="31">
        <f t="shared" si="14"/>
        <v>0</v>
      </c>
      <c r="O280" s="31">
        <f t="shared" si="14"/>
        <v>0</v>
      </c>
      <c r="P280" s="31">
        <f t="shared" si="14"/>
        <v>0</v>
      </c>
      <c r="Q280" s="31">
        <f t="shared" si="14"/>
        <v>0</v>
      </c>
      <c r="R280" s="31"/>
      <c r="S280" s="11">
        <f t="shared" si="13"/>
        <v>0</v>
      </c>
      <c r="T280" s="2">
        <f>Resource!L25</f>
        <v>0</v>
      </c>
      <c r="U280" s="176">
        <f>Resource!M25/100</f>
        <v>0</v>
      </c>
    </row>
    <row r="281" spans="1:21">
      <c r="A281" s="146">
        <v>115</v>
      </c>
      <c r="B281" s="31"/>
      <c r="C281" s="31"/>
      <c r="D281" s="31"/>
      <c r="E281" s="31">
        <f t="shared" si="14"/>
        <v>0</v>
      </c>
      <c r="F281" s="31">
        <f t="shared" si="14"/>
        <v>0</v>
      </c>
      <c r="G281" s="31">
        <f t="shared" si="14"/>
        <v>0</v>
      </c>
      <c r="H281" s="31">
        <f t="shared" si="14"/>
        <v>0</v>
      </c>
      <c r="I281" s="31">
        <f t="shared" si="14"/>
        <v>0</v>
      </c>
      <c r="J281" s="31">
        <f t="shared" si="14"/>
        <v>0</v>
      </c>
      <c r="K281" s="31">
        <f t="shared" si="14"/>
        <v>0</v>
      </c>
      <c r="L281" s="31">
        <f t="shared" si="14"/>
        <v>0</v>
      </c>
      <c r="M281" s="31">
        <f t="shared" si="14"/>
        <v>0</v>
      </c>
      <c r="N281" s="31">
        <f t="shared" si="14"/>
        <v>0</v>
      </c>
      <c r="O281" s="31">
        <f t="shared" si="14"/>
        <v>0</v>
      </c>
      <c r="P281" s="31">
        <f t="shared" si="14"/>
        <v>0</v>
      </c>
      <c r="Q281" s="31">
        <f t="shared" si="14"/>
        <v>0</v>
      </c>
      <c r="R281" s="31"/>
      <c r="S281" s="11">
        <f t="shared" si="13"/>
        <v>0</v>
      </c>
      <c r="T281" s="2">
        <f>Resource!L26</f>
        <v>0</v>
      </c>
      <c r="U281" s="176">
        <f>Resource!M26/100</f>
        <v>0</v>
      </c>
    </row>
    <row r="282" spans="1:21">
      <c r="A282" s="146">
        <v>110</v>
      </c>
      <c r="B282" s="31"/>
      <c r="C282" s="31"/>
      <c r="D282" s="31"/>
      <c r="E282" s="31">
        <f t="shared" si="14"/>
        <v>0</v>
      </c>
      <c r="F282" s="31">
        <f t="shared" si="14"/>
        <v>0</v>
      </c>
      <c r="G282" s="31">
        <f t="shared" si="14"/>
        <v>0</v>
      </c>
      <c r="H282" s="31">
        <f t="shared" si="14"/>
        <v>0</v>
      </c>
      <c r="I282" s="31">
        <f t="shared" si="14"/>
        <v>0</v>
      </c>
      <c r="J282" s="31">
        <f t="shared" si="14"/>
        <v>0</v>
      </c>
      <c r="K282" s="31">
        <f t="shared" si="14"/>
        <v>0</v>
      </c>
      <c r="L282" s="31">
        <f t="shared" si="14"/>
        <v>0</v>
      </c>
      <c r="M282" s="31">
        <f t="shared" si="14"/>
        <v>0</v>
      </c>
      <c r="N282" s="31">
        <f t="shared" si="14"/>
        <v>0</v>
      </c>
      <c r="O282" s="31">
        <f t="shared" si="14"/>
        <v>0</v>
      </c>
      <c r="P282" s="31">
        <f t="shared" si="14"/>
        <v>0</v>
      </c>
      <c r="Q282" s="31">
        <f t="shared" si="14"/>
        <v>0</v>
      </c>
      <c r="R282" s="31"/>
      <c r="S282" s="11">
        <f t="shared" si="13"/>
        <v>0</v>
      </c>
      <c r="T282" s="2">
        <f>Resource!L27</f>
        <v>0</v>
      </c>
      <c r="U282" s="176">
        <f>Resource!M27/100</f>
        <v>0</v>
      </c>
    </row>
    <row r="283" spans="1:21">
      <c r="A283" s="112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11"/>
    </row>
    <row r="284" spans="1:21">
      <c r="A284" s="39" t="s">
        <v>179</v>
      </c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11"/>
    </row>
    <row r="285" spans="1:21">
      <c r="A285" s="146">
        <v>150</v>
      </c>
      <c r="B285" s="31"/>
      <c r="C285" s="31"/>
      <c r="D285" s="31"/>
      <c r="E285" s="31">
        <f t="shared" ref="E285:Q315" si="15">E415-D350+E350</f>
        <v>0</v>
      </c>
      <c r="F285" s="31">
        <f t="shared" si="15"/>
        <v>0</v>
      </c>
      <c r="G285" s="31">
        <f t="shared" si="15"/>
        <v>0</v>
      </c>
      <c r="H285" s="31">
        <f t="shared" si="15"/>
        <v>0</v>
      </c>
      <c r="I285" s="31">
        <f t="shared" si="15"/>
        <v>0</v>
      </c>
      <c r="J285" s="31">
        <f t="shared" si="15"/>
        <v>0</v>
      </c>
      <c r="K285" s="31">
        <f t="shared" si="15"/>
        <v>0</v>
      </c>
      <c r="L285" s="31">
        <f t="shared" si="15"/>
        <v>0</v>
      </c>
      <c r="M285" s="31">
        <f t="shared" si="15"/>
        <v>0</v>
      </c>
      <c r="N285" s="31">
        <f t="shared" si="15"/>
        <v>0</v>
      </c>
      <c r="O285" s="31">
        <f t="shared" si="15"/>
        <v>0</v>
      </c>
      <c r="P285" s="31">
        <f t="shared" si="15"/>
        <v>0</v>
      </c>
      <c r="Q285" s="31">
        <f t="shared" si="15"/>
        <v>0</v>
      </c>
      <c r="R285" s="31"/>
      <c r="S285" s="11">
        <f t="shared" ref="S285:S315" si="16">SUM(B285:R285)</f>
        <v>0</v>
      </c>
      <c r="T285" s="2">
        <f>Resource!L30</f>
        <v>0</v>
      </c>
      <c r="U285" s="176">
        <f>Resource!M30/100</f>
        <v>0</v>
      </c>
    </row>
    <row r="286" spans="1:21">
      <c r="A286" s="146">
        <v>145</v>
      </c>
      <c r="B286" s="31"/>
      <c r="C286" s="31"/>
      <c r="D286" s="31"/>
      <c r="E286" s="31">
        <f t="shared" si="15"/>
        <v>0</v>
      </c>
      <c r="F286" s="31">
        <f t="shared" si="15"/>
        <v>0</v>
      </c>
      <c r="G286" s="31">
        <f t="shared" si="15"/>
        <v>0</v>
      </c>
      <c r="H286" s="31">
        <f t="shared" si="15"/>
        <v>0</v>
      </c>
      <c r="I286" s="31">
        <f t="shared" si="15"/>
        <v>0</v>
      </c>
      <c r="J286" s="31">
        <f t="shared" si="15"/>
        <v>0</v>
      </c>
      <c r="K286" s="31">
        <f t="shared" si="15"/>
        <v>0</v>
      </c>
      <c r="L286" s="31">
        <f t="shared" si="15"/>
        <v>0</v>
      </c>
      <c r="M286" s="31">
        <f t="shared" si="15"/>
        <v>0</v>
      </c>
      <c r="N286" s="31">
        <f t="shared" si="15"/>
        <v>0</v>
      </c>
      <c r="O286" s="31">
        <f t="shared" si="15"/>
        <v>0</v>
      </c>
      <c r="P286" s="31">
        <f t="shared" si="15"/>
        <v>0</v>
      </c>
      <c r="Q286" s="31">
        <f t="shared" si="15"/>
        <v>0</v>
      </c>
      <c r="R286" s="31"/>
      <c r="S286" s="11">
        <f t="shared" si="16"/>
        <v>0</v>
      </c>
      <c r="T286" s="2">
        <f>Resource!L31</f>
        <v>0</v>
      </c>
      <c r="U286" s="176">
        <f>Resource!M31/100</f>
        <v>0</v>
      </c>
    </row>
    <row r="287" spans="1:21">
      <c r="A287" s="146">
        <v>140</v>
      </c>
      <c r="B287" s="31"/>
      <c r="C287" s="31"/>
      <c r="D287" s="31"/>
      <c r="E287" s="31">
        <f t="shared" si="15"/>
        <v>0</v>
      </c>
      <c r="F287" s="31">
        <f t="shared" si="15"/>
        <v>0</v>
      </c>
      <c r="G287" s="31">
        <f t="shared" si="15"/>
        <v>0</v>
      </c>
      <c r="H287" s="31">
        <f t="shared" si="15"/>
        <v>0</v>
      </c>
      <c r="I287" s="31">
        <f t="shared" si="15"/>
        <v>0</v>
      </c>
      <c r="J287" s="31">
        <f t="shared" si="15"/>
        <v>0</v>
      </c>
      <c r="K287" s="31">
        <f t="shared" si="15"/>
        <v>0</v>
      </c>
      <c r="L287" s="31">
        <f t="shared" si="15"/>
        <v>0</v>
      </c>
      <c r="M287" s="31">
        <f t="shared" si="15"/>
        <v>0</v>
      </c>
      <c r="N287" s="31">
        <f t="shared" si="15"/>
        <v>0</v>
      </c>
      <c r="O287" s="31">
        <f t="shared" si="15"/>
        <v>0</v>
      </c>
      <c r="P287" s="31">
        <f t="shared" si="15"/>
        <v>0</v>
      </c>
      <c r="Q287" s="31">
        <f t="shared" si="15"/>
        <v>0</v>
      </c>
      <c r="R287" s="31"/>
      <c r="S287" s="11">
        <f t="shared" si="16"/>
        <v>0</v>
      </c>
      <c r="T287" s="2">
        <f>Resource!L32</f>
        <v>0</v>
      </c>
      <c r="U287" s="176">
        <f>Resource!M32/100</f>
        <v>0</v>
      </c>
    </row>
    <row r="288" spans="1:21">
      <c r="A288" s="146">
        <v>135</v>
      </c>
      <c r="B288" s="31"/>
      <c r="C288" s="31"/>
      <c r="D288" s="31"/>
      <c r="E288" s="31">
        <f t="shared" si="15"/>
        <v>0</v>
      </c>
      <c r="F288" s="31">
        <f t="shared" si="15"/>
        <v>0</v>
      </c>
      <c r="G288" s="31">
        <f t="shared" si="15"/>
        <v>0</v>
      </c>
      <c r="H288" s="31">
        <f t="shared" si="15"/>
        <v>0</v>
      </c>
      <c r="I288" s="31">
        <f t="shared" si="15"/>
        <v>0</v>
      </c>
      <c r="J288" s="31">
        <f t="shared" si="15"/>
        <v>0</v>
      </c>
      <c r="K288" s="31">
        <f t="shared" si="15"/>
        <v>0</v>
      </c>
      <c r="L288" s="31">
        <f t="shared" si="15"/>
        <v>0</v>
      </c>
      <c r="M288" s="31">
        <f t="shared" si="15"/>
        <v>0</v>
      </c>
      <c r="N288" s="31">
        <f t="shared" si="15"/>
        <v>0</v>
      </c>
      <c r="O288" s="31">
        <f t="shared" si="15"/>
        <v>0</v>
      </c>
      <c r="P288" s="31">
        <f t="shared" si="15"/>
        <v>0</v>
      </c>
      <c r="Q288" s="31">
        <f t="shared" si="15"/>
        <v>0</v>
      </c>
      <c r="R288" s="31"/>
      <c r="S288" s="11">
        <f t="shared" si="16"/>
        <v>0</v>
      </c>
      <c r="T288" s="2">
        <f>Resource!L33</f>
        <v>0</v>
      </c>
      <c r="U288" s="176">
        <f>Resource!M33/100</f>
        <v>0</v>
      </c>
    </row>
    <row r="289" spans="1:21">
      <c r="A289" s="146">
        <v>130</v>
      </c>
      <c r="B289" s="31"/>
      <c r="C289" s="31"/>
      <c r="D289" s="31"/>
      <c r="E289" s="31">
        <f t="shared" si="15"/>
        <v>0</v>
      </c>
      <c r="F289" s="31">
        <f t="shared" si="15"/>
        <v>0</v>
      </c>
      <c r="G289" s="31">
        <f t="shared" si="15"/>
        <v>0</v>
      </c>
      <c r="H289" s="31">
        <f t="shared" si="15"/>
        <v>0</v>
      </c>
      <c r="I289" s="31">
        <f t="shared" si="15"/>
        <v>0</v>
      </c>
      <c r="J289" s="31">
        <f t="shared" si="15"/>
        <v>0</v>
      </c>
      <c r="K289" s="31">
        <f t="shared" si="15"/>
        <v>0</v>
      </c>
      <c r="L289" s="31">
        <f t="shared" si="15"/>
        <v>0</v>
      </c>
      <c r="M289" s="31">
        <f t="shared" si="15"/>
        <v>0</v>
      </c>
      <c r="N289" s="31">
        <f t="shared" si="15"/>
        <v>0</v>
      </c>
      <c r="O289" s="31">
        <f t="shared" si="15"/>
        <v>0</v>
      </c>
      <c r="P289" s="31">
        <f t="shared" si="15"/>
        <v>0</v>
      </c>
      <c r="Q289" s="31">
        <f t="shared" si="15"/>
        <v>0</v>
      </c>
      <c r="R289" s="31"/>
      <c r="S289" s="11">
        <f t="shared" si="16"/>
        <v>0</v>
      </c>
      <c r="T289" s="2">
        <f>Resource!L34</f>
        <v>0</v>
      </c>
      <c r="U289" s="176">
        <f>Resource!M34/100</f>
        <v>0</v>
      </c>
    </row>
    <row r="290" spans="1:21">
      <c r="A290" s="146">
        <v>125</v>
      </c>
      <c r="B290" s="31"/>
      <c r="C290" s="31"/>
      <c r="D290" s="31"/>
      <c r="E290" s="31">
        <f t="shared" si="15"/>
        <v>0</v>
      </c>
      <c r="F290" s="31">
        <f t="shared" si="15"/>
        <v>0</v>
      </c>
      <c r="G290" s="31">
        <f t="shared" si="15"/>
        <v>105547.09233270305</v>
      </c>
      <c r="H290" s="31">
        <f t="shared" si="15"/>
        <v>288976.74339492241</v>
      </c>
      <c r="I290" s="31">
        <f t="shared" si="15"/>
        <v>119473.66427237456</v>
      </c>
      <c r="J290" s="31">
        <f t="shared" si="15"/>
        <v>0</v>
      </c>
      <c r="K290" s="31">
        <f t="shared" si="15"/>
        <v>0</v>
      </c>
      <c r="L290" s="31">
        <f t="shared" si="15"/>
        <v>0</v>
      </c>
      <c r="M290" s="31">
        <f t="shared" si="15"/>
        <v>0</v>
      </c>
      <c r="N290" s="31">
        <f t="shared" si="15"/>
        <v>0</v>
      </c>
      <c r="O290" s="31">
        <f t="shared" si="15"/>
        <v>0</v>
      </c>
      <c r="P290" s="31">
        <f t="shared" si="15"/>
        <v>0</v>
      </c>
      <c r="Q290" s="31">
        <f t="shared" si="15"/>
        <v>0</v>
      </c>
      <c r="R290" s="31"/>
      <c r="S290" s="11">
        <f t="shared" si="16"/>
        <v>513997.5</v>
      </c>
      <c r="T290" s="2">
        <f>Resource!L35</f>
        <v>513997.5</v>
      </c>
      <c r="U290" s="176">
        <f>Resource!M35/100</f>
        <v>0.4067690601607985</v>
      </c>
    </row>
    <row r="291" spans="1:21">
      <c r="A291" s="146">
        <v>120</v>
      </c>
      <c r="B291" s="31"/>
      <c r="C291" s="31"/>
      <c r="D291" s="31"/>
      <c r="E291" s="31">
        <f t="shared" si="15"/>
        <v>0</v>
      </c>
      <c r="F291" s="31">
        <f t="shared" si="15"/>
        <v>0</v>
      </c>
      <c r="G291" s="31">
        <f t="shared" si="15"/>
        <v>0</v>
      </c>
      <c r="H291" s="31">
        <f t="shared" si="15"/>
        <v>0</v>
      </c>
      <c r="I291" s="31">
        <f t="shared" si="15"/>
        <v>171228.22224956931</v>
      </c>
      <c r="J291" s="31">
        <f t="shared" si="15"/>
        <v>289417.27775043069</v>
      </c>
      <c r="K291" s="31">
        <f t="shared" si="15"/>
        <v>0</v>
      </c>
      <c r="L291" s="31">
        <f t="shared" si="15"/>
        <v>0</v>
      </c>
      <c r="M291" s="31">
        <f t="shared" si="15"/>
        <v>0</v>
      </c>
      <c r="N291" s="31">
        <f t="shared" si="15"/>
        <v>0</v>
      </c>
      <c r="O291" s="31">
        <f t="shared" si="15"/>
        <v>0</v>
      </c>
      <c r="P291" s="31">
        <f t="shared" si="15"/>
        <v>0</v>
      </c>
      <c r="Q291" s="31">
        <f t="shared" si="15"/>
        <v>0</v>
      </c>
      <c r="R291" s="31"/>
      <c r="S291" s="11">
        <f t="shared" si="16"/>
        <v>460645.5</v>
      </c>
      <c r="T291" s="2">
        <f>Resource!L36</f>
        <v>460645.5</v>
      </c>
      <c r="U291" s="176">
        <f>Resource!M36/100</f>
        <v>0.40257278970488153</v>
      </c>
    </row>
    <row r="292" spans="1:21">
      <c r="A292" s="146">
        <v>115</v>
      </c>
      <c r="B292" s="31"/>
      <c r="C292" s="31"/>
      <c r="D292" s="31"/>
      <c r="E292" s="31">
        <f t="shared" si="15"/>
        <v>0</v>
      </c>
      <c r="F292" s="31">
        <f t="shared" si="15"/>
        <v>0</v>
      </c>
      <c r="G292" s="31">
        <f t="shared" si="15"/>
        <v>0</v>
      </c>
      <c r="H292" s="31">
        <f t="shared" si="15"/>
        <v>0</v>
      </c>
      <c r="I292" s="31">
        <f t="shared" si="15"/>
        <v>0</v>
      </c>
      <c r="J292" s="31">
        <f t="shared" si="15"/>
        <v>2553.7238759829061</v>
      </c>
      <c r="K292" s="31">
        <f t="shared" si="15"/>
        <v>407475.77612401714</v>
      </c>
      <c r="L292" s="31">
        <f t="shared" si="15"/>
        <v>0</v>
      </c>
      <c r="M292" s="31">
        <f t="shared" si="15"/>
        <v>0</v>
      </c>
      <c r="N292" s="31">
        <f t="shared" si="15"/>
        <v>0</v>
      </c>
      <c r="O292" s="31">
        <f t="shared" si="15"/>
        <v>0</v>
      </c>
      <c r="P292" s="31">
        <f t="shared" si="15"/>
        <v>0</v>
      </c>
      <c r="Q292" s="31">
        <f t="shared" si="15"/>
        <v>0</v>
      </c>
      <c r="R292" s="31"/>
      <c r="S292" s="11">
        <f t="shared" si="16"/>
        <v>410029.50000000006</v>
      </c>
      <c r="T292" s="2">
        <f>Resource!L37</f>
        <v>410029.5</v>
      </c>
      <c r="U292" s="176">
        <f>Resource!M37/100</f>
        <v>0.39758226176409261</v>
      </c>
    </row>
    <row r="293" spans="1:21">
      <c r="A293" s="146">
        <v>110</v>
      </c>
      <c r="B293" s="31"/>
      <c r="C293" s="31"/>
      <c r="D293" s="31"/>
      <c r="E293" s="31">
        <f t="shared" si="15"/>
        <v>0</v>
      </c>
      <c r="F293" s="31">
        <f t="shared" si="15"/>
        <v>0</v>
      </c>
      <c r="G293" s="31">
        <f t="shared" si="15"/>
        <v>0</v>
      </c>
      <c r="H293" s="31">
        <f t="shared" si="15"/>
        <v>0</v>
      </c>
      <c r="I293" s="31">
        <f t="shared" si="15"/>
        <v>0</v>
      </c>
      <c r="J293" s="31">
        <f t="shared" si="15"/>
        <v>0</v>
      </c>
      <c r="K293" s="31">
        <f t="shared" si="15"/>
        <v>-110594.72327068924</v>
      </c>
      <c r="L293" s="31">
        <f t="shared" si="15"/>
        <v>472544.72327068925</v>
      </c>
      <c r="M293" s="31">
        <f t="shared" si="15"/>
        <v>0</v>
      </c>
      <c r="N293" s="31">
        <f t="shared" si="15"/>
        <v>0</v>
      </c>
      <c r="O293" s="31">
        <f t="shared" si="15"/>
        <v>0</v>
      </c>
      <c r="P293" s="31">
        <f t="shared" si="15"/>
        <v>0</v>
      </c>
      <c r="Q293" s="31">
        <f t="shared" si="15"/>
        <v>0</v>
      </c>
      <c r="R293" s="31"/>
      <c r="S293" s="11">
        <f t="shared" si="16"/>
        <v>361950</v>
      </c>
      <c r="T293" s="2">
        <f>Resource!L38</f>
        <v>361950</v>
      </c>
      <c r="U293" s="176">
        <f>Resource!M38/100</f>
        <v>0.4018393700787401</v>
      </c>
    </row>
    <row r="294" spans="1:21">
      <c r="A294" s="139">
        <v>105</v>
      </c>
      <c r="B294" s="31"/>
      <c r="C294" s="31"/>
      <c r="D294" s="31"/>
      <c r="E294" s="31">
        <f t="shared" si="15"/>
        <v>0</v>
      </c>
      <c r="F294" s="31">
        <f t="shared" si="15"/>
        <v>0</v>
      </c>
      <c r="G294" s="31">
        <f t="shared" si="15"/>
        <v>0</v>
      </c>
      <c r="H294" s="31">
        <f t="shared" si="15"/>
        <v>0</v>
      </c>
      <c r="I294" s="31">
        <f t="shared" si="15"/>
        <v>0</v>
      </c>
      <c r="J294" s="31">
        <f t="shared" si="15"/>
        <v>0</v>
      </c>
      <c r="K294" s="31">
        <f t="shared" si="15"/>
        <v>0</v>
      </c>
      <c r="L294" s="31">
        <f t="shared" si="15"/>
        <v>-182748.6653809917</v>
      </c>
      <c r="M294" s="31">
        <f t="shared" si="15"/>
        <v>499554.66538099176</v>
      </c>
      <c r="N294" s="31">
        <f t="shared" si="15"/>
        <v>0</v>
      </c>
      <c r="O294" s="31">
        <f t="shared" si="15"/>
        <v>0</v>
      </c>
      <c r="P294" s="31">
        <f t="shared" si="15"/>
        <v>0</v>
      </c>
      <c r="Q294" s="31">
        <f t="shared" si="15"/>
        <v>0</v>
      </c>
      <c r="R294" s="31"/>
      <c r="S294" s="11">
        <f t="shared" si="16"/>
        <v>316806.00000000006</v>
      </c>
      <c r="T294" s="2">
        <f>Resource!L39</f>
        <v>316806</v>
      </c>
      <c r="U294" s="176">
        <f>Resource!M39/100</f>
        <v>0.39597409139978401</v>
      </c>
    </row>
    <row r="295" spans="1:21">
      <c r="A295" s="139">
        <v>100</v>
      </c>
      <c r="B295" s="31"/>
      <c r="C295" s="31"/>
      <c r="D295" s="31"/>
      <c r="E295" s="31">
        <f t="shared" si="15"/>
        <v>0</v>
      </c>
      <c r="F295" s="31">
        <f t="shared" si="15"/>
        <v>0</v>
      </c>
      <c r="G295" s="31">
        <f t="shared" si="15"/>
        <v>0</v>
      </c>
      <c r="H295" s="31">
        <f t="shared" si="15"/>
        <v>0</v>
      </c>
      <c r="I295" s="31">
        <f t="shared" si="15"/>
        <v>0</v>
      </c>
      <c r="J295" s="31">
        <f t="shared" si="15"/>
        <v>0</v>
      </c>
      <c r="K295" s="31">
        <f t="shared" si="15"/>
        <v>0</v>
      </c>
      <c r="L295" s="31">
        <f t="shared" si="15"/>
        <v>0</v>
      </c>
      <c r="M295" s="31">
        <f t="shared" si="15"/>
        <v>-206564.65609833336</v>
      </c>
      <c r="N295" s="31">
        <f t="shared" si="15"/>
        <v>480962.65609833336</v>
      </c>
      <c r="O295" s="31">
        <f t="shared" si="15"/>
        <v>0</v>
      </c>
      <c r="P295" s="31">
        <f t="shared" si="15"/>
        <v>0</v>
      </c>
      <c r="Q295" s="31">
        <f t="shared" si="15"/>
        <v>0</v>
      </c>
      <c r="R295" s="31"/>
      <c r="S295" s="11">
        <f t="shared" si="16"/>
        <v>274398</v>
      </c>
      <c r="T295" s="2">
        <f>Resource!L40</f>
        <v>274398</v>
      </c>
      <c r="U295" s="176">
        <f>Resource!M40/100</f>
        <v>0.38870627336933944</v>
      </c>
    </row>
    <row r="296" spans="1:21">
      <c r="A296" s="139">
        <v>95</v>
      </c>
      <c r="B296" s="31"/>
      <c r="C296" s="31"/>
      <c r="D296" s="31"/>
      <c r="E296" s="31">
        <f t="shared" si="15"/>
        <v>0</v>
      </c>
      <c r="F296" s="31">
        <f t="shared" si="15"/>
        <v>0</v>
      </c>
      <c r="G296" s="31">
        <f t="shared" si="15"/>
        <v>0</v>
      </c>
      <c r="H296" s="31">
        <f t="shared" si="15"/>
        <v>0</v>
      </c>
      <c r="I296" s="31">
        <f t="shared" si="15"/>
        <v>0</v>
      </c>
      <c r="J296" s="31">
        <f t="shared" si="15"/>
        <v>0</v>
      </c>
      <c r="K296" s="31">
        <f t="shared" si="15"/>
        <v>0</v>
      </c>
      <c r="L296" s="31">
        <f t="shared" si="15"/>
        <v>0</v>
      </c>
      <c r="M296" s="31">
        <f t="shared" si="15"/>
        <v>0</v>
      </c>
      <c r="N296" s="31">
        <f t="shared" si="15"/>
        <v>-180409.45069131648</v>
      </c>
      <c r="O296" s="31">
        <f t="shared" si="15"/>
        <v>415068.95069131651</v>
      </c>
      <c r="P296" s="31">
        <f t="shared" si="15"/>
        <v>0</v>
      </c>
      <c r="Q296" s="31">
        <f t="shared" si="15"/>
        <v>0</v>
      </c>
      <c r="R296" s="31"/>
      <c r="S296" s="11">
        <f t="shared" si="16"/>
        <v>234659.50000000003</v>
      </c>
      <c r="T296" s="2">
        <f>Resource!L41</f>
        <v>234659.5</v>
      </c>
      <c r="U296" s="176">
        <f>Resource!M41/100</f>
        <v>0.38480255860086637</v>
      </c>
    </row>
    <row r="297" spans="1:21">
      <c r="A297" s="139">
        <v>90</v>
      </c>
      <c r="B297" s="31"/>
      <c r="C297" s="31"/>
      <c r="D297" s="31"/>
      <c r="E297" s="31">
        <f t="shared" si="15"/>
        <v>0</v>
      </c>
      <c r="F297" s="31">
        <f t="shared" si="15"/>
        <v>0</v>
      </c>
      <c r="G297" s="31">
        <f t="shared" si="15"/>
        <v>0</v>
      </c>
      <c r="H297" s="31">
        <f t="shared" si="15"/>
        <v>0</v>
      </c>
      <c r="I297" s="31">
        <f t="shared" si="15"/>
        <v>0</v>
      </c>
      <c r="J297" s="31">
        <f t="shared" si="15"/>
        <v>0</v>
      </c>
      <c r="K297" s="31">
        <f t="shared" si="15"/>
        <v>0</v>
      </c>
      <c r="L297" s="31">
        <f t="shared" si="15"/>
        <v>0</v>
      </c>
      <c r="M297" s="31">
        <f t="shared" si="15"/>
        <v>0</v>
      </c>
      <c r="N297" s="31">
        <f t="shared" si="15"/>
        <v>0</v>
      </c>
      <c r="O297" s="31">
        <f t="shared" si="15"/>
        <v>197590.5</v>
      </c>
      <c r="P297" s="31">
        <f t="shared" si="15"/>
        <v>0</v>
      </c>
      <c r="Q297" s="31">
        <f t="shared" si="15"/>
        <v>0</v>
      </c>
      <c r="R297" s="31"/>
      <c r="S297" s="11">
        <f t="shared" si="16"/>
        <v>197590.5</v>
      </c>
      <c r="T297" s="2">
        <f>Resource!L42</f>
        <v>197590.5</v>
      </c>
      <c r="U297" s="176">
        <f>Resource!M42/100</f>
        <v>0.38645088706187791</v>
      </c>
    </row>
    <row r="298" spans="1:21">
      <c r="A298" s="139">
        <v>85</v>
      </c>
      <c r="B298" s="31"/>
      <c r="C298" s="31"/>
      <c r="D298" s="31"/>
      <c r="E298" s="31">
        <f t="shared" si="15"/>
        <v>0</v>
      </c>
      <c r="F298" s="31">
        <f t="shared" si="15"/>
        <v>0</v>
      </c>
      <c r="G298" s="31">
        <f t="shared" si="15"/>
        <v>0</v>
      </c>
      <c r="H298" s="31">
        <f t="shared" si="15"/>
        <v>0</v>
      </c>
      <c r="I298" s="31">
        <f t="shared" si="15"/>
        <v>0</v>
      </c>
      <c r="J298" s="31">
        <f t="shared" si="15"/>
        <v>0</v>
      </c>
      <c r="K298" s="31">
        <f t="shared" si="15"/>
        <v>0</v>
      </c>
      <c r="L298" s="31">
        <f t="shared" si="15"/>
        <v>0</v>
      </c>
      <c r="M298" s="31">
        <f t="shared" si="15"/>
        <v>0</v>
      </c>
      <c r="N298" s="31">
        <f t="shared" si="15"/>
        <v>0</v>
      </c>
      <c r="O298" s="31">
        <f t="shared" si="15"/>
        <v>-304057.83273412014</v>
      </c>
      <c r="P298" s="31">
        <f t="shared" si="15"/>
        <v>467315.33273412014</v>
      </c>
      <c r="Q298" s="31">
        <f t="shared" si="15"/>
        <v>0</v>
      </c>
      <c r="R298" s="31"/>
      <c r="S298" s="11">
        <f t="shared" si="16"/>
        <v>163257.5</v>
      </c>
      <c r="T298" s="2">
        <f>Resource!L43</f>
        <v>163257.5</v>
      </c>
      <c r="U298" s="176">
        <f>Resource!M43/100</f>
        <v>0.38976782077393074</v>
      </c>
    </row>
    <row r="299" spans="1:21">
      <c r="A299" s="141">
        <v>80</v>
      </c>
      <c r="B299" s="31"/>
      <c r="C299" s="31"/>
      <c r="D299" s="31"/>
      <c r="E299" s="31">
        <f t="shared" si="15"/>
        <v>0</v>
      </c>
      <c r="F299" s="31">
        <f t="shared" si="15"/>
        <v>0</v>
      </c>
      <c r="G299" s="31">
        <f t="shared" si="15"/>
        <v>0</v>
      </c>
      <c r="H299" s="31">
        <f t="shared" si="15"/>
        <v>0</v>
      </c>
      <c r="I299" s="31">
        <f t="shared" si="15"/>
        <v>0</v>
      </c>
      <c r="J299" s="31">
        <f t="shared" si="15"/>
        <v>0</v>
      </c>
      <c r="K299" s="31">
        <f t="shared" si="15"/>
        <v>0</v>
      </c>
      <c r="L299" s="31">
        <f t="shared" si="15"/>
        <v>0</v>
      </c>
      <c r="M299" s="31">
        <f t="shared" si="15"/>
        <v>0</v>
      </c>
      <c r="N299" s="31">
        <f t="shared" si="15"/>
        <v>0</v>
      </c>
      <c r="O299" s="31">
        <f t="shared" si="15"/>
        <v>0</v>
      </c>
      <c r="P299" s="31">
        <f t="shared" si="15"/>
        <v>131660.5</v>
      </c>
      <c r="Q299" s="31">
        <f t="shared" si="15"/>
        <v>0</v>
      </c>
      <c r="R299" s="31"/>
      <c r="S299" s="11">
        <f t="shared" si="16"/>
        <v>131660.5</v>
      </c>
      <c r="T299" s="2">
        <f>Resource!L44</f>
        <v>131660.5</v>
      </c>
      <c r="U299" s="176">
        <f>Resource!M44/100</f>
        <v>0.39585193736921853</v>
      </c>
    </row>
    <row r="300" spans="1:21">
      <c r="A300" s="141">
        <v>75</v>
      </c>
      <c r="B300" s="31"/>
      <c r="C300" s="31"/>
      <c r="D300" s="31"/>
      <c r="E300" s="31">
        <f t="shared" si="15"/>
        <v>0</v>
      </c>
      <c r="F300" s="31">
        <f t="shared" si="15"/>
        <v>0</v>
      </c>
      <c r="G300" s="31">
        <f t="shared" si="15"/>
        <v>0</v>
      </c>
      <c r="H300" s="31">
        <f t="shared" si="15"/>
        <v>0</v>
      </c>
      <c r="I300" s="31">
        <f t="shared" si="15"/>
        <v>0</v>
      </c>
      <c r="J300" s="31">
        <f t="shared" si="15"/>
        <v>0</v>
      </c>
      <c r="K300" s="31">
        <f t="shared" si="15"/>
        <v>0</v>
      </c>
      <c r="L300" s="31">
        <f t="shared" si="15"/>
        <v>0</v>
      </c>
      <c r="M300" s="31">
        <f t="shared" si="15"/>
        <v>0</v>
      </c>
      <c r="N300" s="31">
        <f t="shared" si="15"/>
        <v>0</v>
      </c>
      <c r="O300" s="31">
        <f t="shared" si="15"/>
        <v>0</v>
      </c>
      <c r="P300" s="31">
        <f t="shared" si="15"/>
        <v>-286766.49972169095</v>
      </c>
      <c r="Q300" s="31">
        <f t="shared" si="15"/>
        <v>389565.9997216909</v>
      </c>
      <c r="R300" s="31"/>
      <c r="S300" s="11">
        <f t="shared" si="16"/>
        <v>102799.49999999994</v>
      </c>
      <c r="T300" s="2">
        <f>Resource!L45</f>
        <v>102799.5</v>
      </c>
      <c r="U300" s="176">
        <f>Resource!M45/100</f>
        <v>0.40676906016079839</v>
      </c>
    </row>
    <row r="301" spans="1:21">
      <c r="A301" s="141">
        <v>70</v>
      </c>
      <c r="B301" s="31"/>
      <c r="C301" s="31"/>
      <c r="D301" s="31"/>
      <c r="E301" s="31">
        <f t="shared" si="15"/>
        <v>0</v>
      </c>
      <c r="F301" s="31">
        <f t="shared" si="15"/>
        <v>0</v>
      </c>
      <c r="G301" s="31">
        <f t="shared" si="15"/>
        <v>0</v>
      </c>
      <c r="H301" s="31">
        <f t="shared" si="15"/>
        <v>0</v>
      </c>
      <c r="I301" s="31">
        <f t="shared" si="15"/>
        <v>0</v>
      </c>
      <c r="J301" s="31">
        <f t="shared" si="15"/>
        <v>0</v>
      </c>
      <c r="K301" s="31">
        <f t="shared" si="15"/>
        <v>0</v>
      </c>
      <c r="L301" s="31">
        <f t="shared" si="15"/>
        <v>0</v>
      </c>
      <c r="M301" s="31">
        <f t="shared" si="15"/>
        <v>0</v>
      </c>
      <c r="N301" s="31">
        <f t="shared" si="15"/>
        <v>0</v>
      </c>
      <c r="O301" s="31">
        <f t="shared" si="15"/>
        <v>0</v>
      </c>
      <c r="P301" s="31">
        <f t="shared" si="15"/>
        <v>0</v>
      </c>
      <c r="Q301" s="31">
        <f t="shared" si="15"/>
        <v>76741</v>
      </c>
      <c r="R301" s="31"/>
      <c r="S301" s="11">
        <f t="shared" si="16"/>
        <v>76741</v>
      </c>
      <c r="T301" s="2">
        <f>Resource!L46</f>
        <v>76741</v>
      </c>
      <c r="U301" s="176">
        <f>Resource!M46/100</f>
        <v>0.41064421886605595</v>
      </c>
    </row>
    <row r="302" spans="1:21">
      <c r="A302" s="141">
        <v>65</v>
      </c>
      <c r="B302" s="31"/>
      <c r="C302" s="31"/>
      <c r="D302" s="31"/>
      <c r="E302" s="31">
        <f t="shared" si="15"/>
        <v>0</v>
      </c>
      <c r="F302" s="31">
        <f t="shared" si="15"/>
        <v>0</v>
      </c>
      <c r="G302" s="31">
        <f t="shared" si="15"/>
        <v>0</v>
      </c>
      <c r="H302" s="31">
        <f t="shared" si="15"/>
        <v>0</v>
      </c>
      <c r="I302" s="31">
        <f t="shared" si="15"/>
        <v>0</v>
      </c>
      <c r="J302" s="31">
        <f t="shared" si="15"/>
        <v>0</v>
      </c>
      <c r="K302" s="31">
        <f t="shared" si="15"/>
        <v>0</v>
      </c>
      <c r="L302" s="31">
        <f t="shared" si="15"/>
        <v>0</v>
      </c>
      <c r="M302" s="31">
        <f t="shared" si="15"/>
        <v>0</v>
      </c>
      <c r="N302" s="31">
        <f t="shared" si="15"/>
        <v>0</v>
      </c>
      <c r="O302" s="31">
        <f t="shared" si="15"/>
        <v>0</v>
      </c>
      <c r="P302" s="31">
        <f t="shared" si="15"/>
        <v>0</v>
      </c>
      <c r="Q302" s="31">
        <f t="shared" si="15"/>
        <v>0</v>
      </c>
      <c r="R302" s="31"/>
      <c r="S302" s="11">
        <f t="shared" si="16"/>
        <v>0</v>
      </c>
      <c r="T302" s="2">
        <f>Resource!L47</f>
        <v>0</v>
      </c>
      <c r="U302" s="176">
        <f>Resource!M47/100</f>
        <v>0</v>
      </c>
    </row>
    <row r="303" spans="1:21">
      <c r="A303" s="141">
        <v>60</v>
      </c>
      <c r="B303" s="31"/>
      <c r="C303" s="31"/>
      <c r="D303" s="31"/>
      <c r="E303" s="31">
        <f t="shared" si="15"/>
        <v>0</v>
      </c>
      <c r="F303" s="31">
        <f t="shared" si="15"/>
        <v>0</v>
      </c>
      <c r="G303" s="31">
        <f t="shared" si="15"/>
        <v>0</v>
      </c>
      <c r="H303" s="31">
        <f t="shared" si="15"/>
        <v>0</v>
      </c>
      <c r="I303" s="31">
        <f t="shared" si="15"/>
        <v>0</v>
      </c>
      <c r="J303" s="31">
        <f t="shared" si="15"/>
        <v>0</v>
      </c>
      <c r="K303" s="31">
        <f t="shared" si="15"/>
        <v>0</v>
      </c>
      <c r="L303" s="31">
        <f t="shared" si="15"/>
        <v>0</v>
      </c>
      <c r="M303" s="31">
        <f t="shared" si="15"/>
        <v>0</v>
      </c>
      <c r="N303" s="31">
        <f t="shared" ref="F303:Q315" si="17">N433-M368+N368</f>
        <v>0</v>
      </c>
      <c r="O303" s="31">
        <f t="shared" si="17"/>
        <v>0</v>
      </c>
      <c r="P303" s="31">
        <f t="shared" si="17"/>
        <v>0</v>
      </c>
      <c r="Q303" s="31">
        <f t="shared" si="17"/>
        <v>0</v>
      </c>
      <c r="R303" s="31"/>
      <c r="S303" s="11">
        <f t="shared" si="16"/>
        <v>0</v>
      </c>
      <c r="T303" s="2">
        <f>Resource!L48</f>
        <v>0</v>
      </c>
      <c r="U303" s="176">
        <f>Resource!M48/100</f>
        <v>0</v>
      </c>
    </row>
    <row r="304" spans="1:21">
      <c r="A304" s="146">
        <v>55</v>
      </c>
      <c r="B304" s="31"/>
      <c r="C304" s="31"/>
      <c r="D304" s="31"/>
      <c r="E304" s="31">
        <f t="shared" si="15"/>
        <v>0</v>
      </c>
      <c r="F304" s="31">
        <f t="shared" si="17"/>
        <v>0</v>
      </c>
      <c r="G304" s="31">
        <f t="shared" si="17"/>
        <v>0</v>
      </c>
      <c r="H304" s="31">
        <f t="shared" si="17"/>
        <v>0</v>
      </c>
      <c r="I304" s="31">
        <f t="shared" si="17"/>
        <v>0</v>
      </c>
      <c r="J304" s="31">
        <f t="shared" si="17"/>
        <v>0</v>
      </c>
      <c r="K304" s="31">
        <f t="shared" si="17"/>
        <v>0</v>
      </c>
      <c r="L304" s="31">
        <f t="shared" si="17"/>
        <v>0</v>
      </c>
      <c r="M304" s="31">
        <f t="shared" si="17"/>
        <v>0</v>
      </c>
      <c r="N304" s="31">
        <f t="shared" si="17"/>
        <v>0</v>
      </c>
      <c r="O304" s="31">
        <f t="shared" si="17"/>
        <v>0</v>
      </c>
      <c r="P304" s="31">
        <f t="shared" si="17"/>
        <v>0</v>
      </c>
      <c r="Q304" s="31">
        <f t="shared" si="17"/>
        <v>0</v>
      </c>
      <c r="R304" s="31"/>
      <c r="S304" s="11">
        <f t="shared" si="16"/>
        <v>0</v>
      </c>
      <c r="T304" s="2">
        <f>Resource!L49</f>
        <v>0</v>
      </c>
      <c r="U304" s="176">
        <f>Resource!M49/100</f>
        <v>0</v>
      </c>
    </row>
    <row r="305" spans="1:21">
      <c r="A305" s="146">
        <v>50</v>
      </c>
      <c r="B305" s="31"/>
      <c r="C305" s="31"/>
      <c r="D305" s="31"/>
      <c r="E305" s="31">
        <f t="shared" si="15"/>
        <v>0</v>
      </c>
      <c r="F305" s="31">
        <f t="shared" si="17"/>
        <v>0</v>
      </c>
      <c r="G305" s="31">
        <f t="shared" si="17"/>
        <v>0</v>
      </c>
      <c r="H305" s="31">
        <f t="shared" si="17"/>
        <v>0</v>
      </c>
      <c r="I305" s="31">
        <f t="shared" si="17"/>
        <v>0</v>
      </c>
      <c r="J305" s="31">
        <f t="shared" si="17"/>
        <v>0</v>
      </c>
      <c r="K305" s="31">
        <f t="shared" si="17"/>
        <v>0</v>
      </c>
      <c r="L305" s="31">
        <f t="shared" si="17"/>
        <v>0</v>
      </c>
      <c r="M305" s="31">
        <f t="shared" si="17"/>
        <v>0</v>
      </c>
      <c r="N305" s="31">
        <f t="shared" si="17"/>
        <v>0</v>
      </c>
      <c r="O305" s="31">
        <f t="shared" si="17"/>
        <v>0</v>
      </c>
      <c r="P305" s="31">
        <f t="shared" si="17"/>
        <v>0</v>
      </c>
      <c r="Q305" s="31">
        <f t="shared" si="17"/>
        <v>0</v>
      </c>
      <c r="R305" s="31"/>
      <c r="S305" s="11">
        <f t="shared" si="16"/>
        <v>0</v>
      </c>
      <c r="T305" s="2">
        <f>Resource!L50</f>
        <v>0</v>
      </c>
      <c r="U305" s="176">
        <f>Resource!M50/100</f>
        <v>0</v>
      </c>
    </row>
    <row r="306" spans="1:21">
      <c r="A306" s="146">
        <v>45</v>
      </c>
      <c r="B306" s="31"/>
      <c r="C306" s="31"/>
      <c r="D306" s="31"/>
      <c r="E306" s="31">
        <f t="shared" si="15"/>
        <v>0</v>
      </c>
      <c r="F306" s="31">
        <f t="shared" si="17"/>
        <v>0</v>
      </c>
      <c r="G306" s="31">
        <f t="shared" si="17"/>
        <v>0</v>
      </c>
      <c r="H306" s="31">
        <f t="shared" si="17"/>
        <v>0</v>
      </c>
      <c r="I306" s="31">
        <f t="shared" si="17"/>
        <v>0</v>
      </c>
      <c r="J306" s="31">
        <f t="shared" si="17"/>
        <v>0</v>
      </c>
      <c r="K306" s="31">
        <f t="shared" si="17"/>
        <v>0</v>
      </c>
      <c r="L306" s="31">
        <f t="shared" si="17"/>
        <v>0</v>
      </c>
      <c r="M306" s="31">
        <f t="shared" si="17"/>
        <v>0</v>
      </c>
      <c r="N306" s="31">
        <f t="shared" si="17"/>
        <v>0</v>
      </c>
      <c r="O306" s="31">
        <f t="shared" si="17"/>
        <v>0</v>
      </c>
      <c r="P306" s="31">
        <f t="shared" si="17"/>
        <v>0</v>
      </c>
      <c r="Q306" s="31">
        <f t="shared" si="17"/>
        <v>0</v>
      </c>
      <c r="R306" s="31"/>
      <c r="S306" s="11">
        <f t="shared" si="16"/>
        <v>0</v>
      </c>
      <c r="T306" s="2">
        <f>Resource!L51</f>
        <v>0</v>
      </c>
      <c r="U306" s="176">
        <f>Resource!M51/100</f>
        <v>0</v>
      </c>
    </row>
    <row r="307" spans="1:21">
      <c r="A307" s="146">
        <v>40</v>
      </c>
      <c r="B307" s="31"/>
      <c r="C307" s="31"/>
      <c r="D307" s="31"/>
      <c r="E307" s="31">
        <f t="shared" si="15"/>
        <v>0</v>
      </c>
      <c r="F307" s="31">
        <f t="shared" si="17"/>
        <v>0</v>
      </c>
      <c r="G307" s="31">
        <f t="shared" si="17"/>
        <v>0</v>
      </c>
      <c r="H307" s="31">
        <f t="shared" si="17"/>
        <v>0</v>
      </c>
      <c r="I307" s="31">
        <f t="shared" si="17"/>
        <v>0</v>
      </c>
      <c r="J307" s="31">
        <f t="shared" si="17"/>
        <v>0</v>
      </c>
      <c r="K307" s="31">
        <f t="shared" si="17"/>
        <v>0</v>
      </c>
      <c r="L307" s="31">
        <f t="shared" si="17"/>
        <v>0</v>
      </c>
      <c r="M307" s="31">
        <f t="shared" si="17"/>
        <v>0</v>
      </c>
      <c r="N307" s="31">
        <f t="shared" si="17"/>
        <v>0</v>
      </c>
      <c r="O307" s="31">
        <f t="shared" si="17"/>
        <v>0</v>
      </c>
      <c r="P307" s="31">
        <f t="shared" si="17"/>
        <v>0</v>
      </c>
      <c r="Q307" s="31">
        <f t="shared" si="17"/>
        <v>0</v>
      </c>
      <c r="R307" s="31"/>
      <c r="S307" s="11">
        <f t="shared" si="16"/>
        <v>0</v>
      </c>
      <c r="T307" s="2">
        <f>Resource!L52</f>
        <v>0</v>
      </c>
      <c r="U307" s="176">
        <f>Resource!M52/100</f>
        <v>0</v>
      </c>
    </row>
    <row r="308" spans="1:21">
      <c r="A308" s="146">
        <v>35</v>
      </c>
      <c r="B308" s="31"/>
      <c r="C308" s="31"/>
      <c r="D308" s="31"/>
      <c r="E308" s="31">
        <f t="shared" si="15"/>
        <v>0</v>
      </c>
      <c r="F308" s="31">
        <f t="shared" si="17"/>
        <v>0</v>
      </c>
      <c r="G308" s="31">
        <f t="shared" si="17"/>
        <v>0</v>
      </c>
      <c r="H308" s="31">
        <f t="shared" si="17"/>
        <v>0</v>
      </c>
      <c r="I308" s="31">
        <f t="shared" si="17"/>
        <v>0</v>
      </c>
      <c r="J308" s="31">
        <f t="shared" si="17"/>
        <v>0</v>
      </c>
      <c r="K308" s="31">
        <f t="shared" si="17"/>
        <v>0</v>
      </c>
      <c r="L308" s="31">
        <f t="shared" si="17"/>
        <v>0</v>
      </c>
      <c r="M308" s="31">
        <f t="shared" si="17"/>
        <v>0</v>
      </c>
      <c r="N308" s="31">
        <f t="shared" si="17"/>
        <v>0</v>
      </c>
      <c r="O308" s="31">
        <f t="shared" si="17"/>
        <v>0</v>
      </c>
      <c r="P308" s="31">
        <f t="shared" si="17"/>
        <v>0</v>
      </c>
      <c r="Q308" s="31">
        <f t="shared" si="17"/>
        <v>0</v>
      </c>
      <c r="R308" s="31"/>
      <c r="S308" s="11">
        <f t="shared" si="16"/>
        <v>0</v>
      </c>
      <c r="T308" s="2">
        <f>Resource!L53</f>
        <v>0</v>
      </c>
      <c r="U308" s="176">
        <f>Resource!M53/100</f>
        <v>0</v>
      </c>
    </row>
    <row r="309" spans="1:21">
      <c r="A309" s="146">
        <v>30</v>
      </c>
      <c r="B309" s="31"/>
      <c r="C309" s="31"/>
      <c r="D309" s="31"/>
      <c r="E309" s="31">
        <f t="shared" si="15"/>
        <v>0</v>
      </c>
      <c r="F309" s="31">
        <f t="shared" si="17"/>
        <v>0</v>
      </c>
      <c r="G309" s="31">
        <f t="shared" si="17"/>
        <v>0</v>
      </c>
      <c r="H309" s="31">
        <f t="shared" si="17"/>
        <v>0</v>
      </c>
      <c r="I309" s="31">
        <f t="shared" si="17"/>
        <v>0</v>
      </c>
      <c r="J309" s="31">
        <f t="shared" si="17"/>
        <v>0</v>
      </c>
      <c r="K309" s="31">
        <f t="shared" si="17"/>
        <v>0</v>
      </c>
      <c r="L309" s="31">
        <f t="shared" si="17"/>
        <v>0</v>
      </c>
      <c r="M309" s="31">
        <f t="shared" si="17"/>
        <v>0</v>
      </c>
      <c r="N309" s="31">
        <f t="shared" si="17"/>
        <v>0</v>
      </c>
      <c r="O309" s="31">
        <f t="shared" si="17"/>
        <v>0</v>
      </c>
      <c r="P309" s="31">
        <f t="shared" si="17"/>
        <v>0</v>
      </c>
      <c r="Q309" s="31">
        <f t="shared" si="17"/>
        <v>0</v>
      </c>
      <c r="R309" s="31"/>
      <c r="S309" s="11">
        <f t="shared" si="16"/>
        <v>0</v>
      </c>
      <c r="T309" s="2">
        <f>Resource!L54</f>
        <v>0</v>
      </c>
      <c r="U309" s="176">
        <f>Resource!M54/100</f>
        <v>0</v>
      </c>
    </row>
    <row r="310" spans="1:21">
      <c r="A310" s="146">
        <v>25</v>
      </c>
      <c r="B310" s="31"/>
      <c r="C310" s="31"/>
      <c r="D310" s="31"/>
      <c r="E310" s="31">
        <f t="shared" si="15"/>
        <v>0</v>
      </c>
      <c r="F310" s="31">
        <f t="shared" si="17"/>
        <v>0</v>
      </c>
      <c r="G310" s="31">
        <f t="shared" si="17"/>
        <v>0</v>
      </c>
      <c r="H310" s="31">
        <f t="shared" si="17"/>
        <v>0</v>
      </c>
      <c r="I310" s="31">
        <f t="shared" si="17"/>
        <v>0</v>
      </c>
      <c r="J310" s="31">
        <f t="shared" si="17"/>
        <v>0</v>
      </c>
      <c r="K310" s="31">
        <f t="shared" si="17"/>
        <v>0</v>
      </c>
      <c r="L310" s="31">
        <f t="shared" si="17"/>
        <v>0</v>
      </c>
      <c r="M310" s="31">
        <f t="shared" si="17"/>
        <v>0</v>
      </c>
      <c r="N310" s="31">
        <f t="shared" si="17"/>
        <v>0</v>
      </c>
      <c r="O310" s="31">
        <f t="shared" si="17"/>
        <v>0</v>
      </c>
      <c r="P310" s="31">
        <f t="shared" si="17"/>
        <v>0</v>
      </c>
      <c r="Q310" s="31">
        <f t="shared" si="17"/>
        <v>0</v>
      </c>
      <c r="R310" s="31"/>
      <c r="S310" s="11">
        <f t="shared" si="16"/>
        <v>0</v>
      </c>
      <c r="T310" s="2">
        <f>Resource!L55</f>
        <v>0</v>
      </c>
      <c r="U310" s="176">
        <f>Resource!M55/100</f>
        <v>0</v>
      </c>
    </row>
    <row r="311" spans="1:21">
      <c r="A311" s="146">
        <v>20</v>
      </c>
      <c r="B311" s="31"/>
      <c r="C311" s="31"/>
      <c r="D311" s="31"/>
      <c r="E311" s="31">
        <f t="shared" si="15"/>
        <v>0</v>
      </c>
      <c r="F311" s="31">
        <f t="shared" si="17"/>
        <v>0</v>
      </c>
      <c r="G311" s="31">
        <f t="shared" si="17"/>
        <v>0</v>
      </c>
      <c r="H311" s="31">
        <f t="shared" si="17"/>
        <v>0</v>
      </c>
      <c r="I311" s="31">
        <f t="shared" si="17"/>
        <v>0</v>
      </c>
      <c r="J311" s="31">
        <f t="shared" si="17"/>
        <v>0</v>
      </c>
      <c r="K311" s="31">
        <f t="shared" si="17"/>
        <v>0</v>
      </c>
      <c r="L311" s="31">
        <f t="shared" si="17"/>
        <v>0</v>
      </c>
      <c r="M311" s="31">
        <f t="shared" si="17"/>
        <v>0</v>
      </c>
      <c r="N311" s="31">
        <f t="shared" si="17"/>
        <v>0</v>
      </c>
      <c r="O311" s="31">
        <f t="shared" si="17"/>
        <v>0</v>
      </c>
      <c r="P311" s="31">
        <f t="shared" si="17"/>
        <v>0</v>
      </c>
      <c r="Q311" s="31">
        <f t="shared" si="17"/>
        <v>0</v>
      </c>
      <c r="R311" s="31"/>
      <c r="S311" s="11">
        <f t="shared" si="16"/>
        <v>0</v>
      </c>
      <c r="T311" s="2">
        <f>Resource!L56</f>
        <v>0</v>
      </c>
      <c r="U311" s="176">
        <f>Resource!M56/100</f>
        <v>0</v>
      </c>
    </row>
    <row r="312" spans="1:21">
      <c r="A312" s="146">
        <v>15</v>
      </c>
      <c r="B312" s="31"/>
      <c r="C312" s="31"/>
      <c r="D312" s="31"/>
      <c r="E312" s="31">
        <f t="shared" si="15"/>
        <v>0</v>
      </c>
      <c r="F312" s="31">
        <f t="shared" si="17"/>
        <v>0</v>
      </c>
      <c r="G312" s="31">
        <f t="shared" si="17"/>
        <v>0</v>
      </c>
      <c r="H312" s="31">
        <f t="shared" si="17"/>
        <v>0</v>
      </c>
      <c r="I312" s="31">
        <f t="shared" si="17"/>
        <v>0</v>
      </c>
      <c r="J312" s="31">
        <f t="shared" si="17"/>
        <v>0</v>
      </c>
      <c r="K312" s="31">
        <f t="shared" si="17"/>
        <v>0</v>
      </c>
      <c r="L312" s="31">
        <f t="shared" si="17"/>
        <v>0</v>
      </c>
      <c r="M312" s="31">
        <f t="shared" si="17"/>
        <v>0</v>
      </c>
      <c r="N312" s="31">
        <f t="shared" si="17"/>
        <v>0</v>
      </c>
      <c r="O312" s="31">
        <f t="shared" si="17"/>
        <v>0</v>
      </c>
      <c r="P312" s="31">
        <f t="shared" si="17"/>
        <v>0</v>
      </c>
      <c r="Q312" s="31">
        <f t="shared" si="17"/>
        <v>0</v>
      </c>
      <c r="R312" s="31"/>
      <c r="S312" s="11">
        <f t="shared" si="16"/>
        <v>0</v>
      </c>
      <c r="T312" s="2">
        <f>Resource!L57</f>
        <v>0</v>
      </c>
      <c r="U312" s="176">
        <f>Resource!M57/100</f>
        <v>0</v>
      </c>
    </row>
    <row r="313" spans="1:21">
      <c r="A313" s="146">
        <v>10</v>
      </c>
      <c r="B313" s="31"/>
      <c r="C313" s="31"/>
      <c r="D313" s="31"/>
      <c r="E313" s="31">
        <f t="shared" si="15"/>
        <v>0</v>
      </c>
      <c r="F313" s="31">
        <f t="shared" si="17"/>
        <v>0</v>
      </c>
      <c r="G313" s="31">
        <f t="shared" si="17"/>
        <v>0</v>
      </c>
      <c r="H313" s="31">
        <f t="shared" si="17"/>
        <v>0</v>
      </c>
      <c r="I313" s="31">
        <f t="shared" si="17"/>
        <v>0</v>
      </c>
      <c r="J313" s="31">
        <f t="shared" si="17"/>
        <v>0</v>
      </c>
      <c r="K313" s="31">
        <f t="shared" si="17"/>
        <v>0</v>
      </c>
      <c r="L313" s="31">
        <f t="shared" si="17"/>
        <v>0</v>
      </c>
      <c r="M313" s="31">
        <f t="shared" si="17"/>
        <v>0</v>
      </c>
      <c r="N313" s="31">
        <f t="shared" si="17"/>
        <v>0</v>
      </c>
      <c r="O313" s="31">
        <f t="shared" si="17"/>
        <v>0</v>
      </c>
      <c r="P313" s="31">
        <f t="shared" si="17"/>
        <v>0</v>
      </c>
      <c r="Q313" s="31">
        <f t="shared" si="17"/>
        <v>0</v>
      </c>
      <c r="R313" s="31"/>
      <c r="S313" s="11">
        <f t="shared" si="16"/>
        <v>0</v>
      </c>
      <c r="T313" s="2">
        <f>Resource!L58</f>
        <v>0</v>
      </c>
      <c r="U313" s="176">
        <f>Resource!M58/100</f>
        <v>0</v>
      </c>
    </row>
    <row r="314" spans="1:21">
      <c r="A314" s="146">
        <v>5</v>
      </c>
      <c r="B314" s="31"/>
      <c r="C314" s="31"/>
      <c r="D314" s="31"/>
      <c r="E314" s="31">
        <f t="shared" si="15"/>
        <v>0</v>
      </c>
      <c r="F314" s="31">
        <f t="shared" si="17"/>
        <v>0</v>
      </c>
      <c r="G314" s="31">
        <f t="shared" si="17"/>
        <v>0</v>
      </c>
      <c r="H314" s="31">
        <f t="shared" si="17"/>
        <v>0</v>
      </c>
      <c r="I314" s="31">
        <f t="shared" si="17"/>
        <v>0</v>
      </c>
      <c r="J314" s="31">
        <f t="shared" si="17"/>
        <v>0</v>
      </c>
      <c r="K314" s="31">
        <f t="shared" si="17"/>
        <v>0</v>
      </c>
      <c r="L314" s="31">
        <f t="shared" si="17"/>
        <v>0</v>
      </c>
      <c r="M314" s="31">
        <f t="shared" si="17"/>
        <v>0</v>
      </c>
      <c r="N314" s="31">
        <f t="shared" si="17"/>
        <v>0</v>
      </c>
      <c r="O314" s="31">
        <f t="shared" si="17"/>
        <v>0</v>
      </c>
      <c r="P314" s="31">
        <f t="shared" si="17"/>
        <v>0</v>
      </c>
      <c r="Q314" s="31">
        <f t="shared" si="17"/>
        <v>0</v>
      </c>
      <c r="R314" s="31"/>
      <c r="S314" s="11">
        <f t="shared" si="16"/>
        <v>0</v>
      </c>
      <c r="T314" s="2">
        <f>Resource!L59</f>
        <v>0</v>
      </c>
      <c r="U314" s="176">
        <f>Resource!M59/100</f>
        <v>0</v>
      </c>
    </row>
    <row r="315" spans="1:21">
      <c r="A315" s="146">
        <v>0</v>
      </c>
      <c r="B315" s="31"/>
      <c r="C315" s="31"/>
      <c r="D315" s="31"/>
      <c r="E315" s="31">
        <f t="shared" si="15"/>
        <v>0</v>
      </c>
      <c r="F315" s="31">
        <f t="shared" si="17"/>
        <v>0</v>
      </c>
      <c r="G315" s="31">
        <f t="shared" si="17"/>
        <v>0</v>
      </c>
      <c r="H315" s="31">
        <f t="shared" si="17"/>
        <v>0</v>
      </c>
      <c r="I315" s="31">
        <f t="shared" si="17"/>
        <v>0</v>
      </c>
      <c r="J315" s="31">
        <f t="shared" si="17"/>
        <v>0</v>
      </c>
      <c r="K315" s="31">
        <f t="shared" si="17"/>
        <v>0</v>
      </c>
      <c r="L315" s="31">
        <f t="shared" si="17"/>
        <v>0</v>
      </c>
      <c r="M315" s="31">
        <f t="shared" si="17"/>
        <v>0</v>
      </c>
      <c r="N315" s="31">
        <f t="shared" si="17"/>
        <v>0</v>
      </c>
      <c r="O315" s="31">
        <f t="shared" si="17"/>
        <v>0</v>
      </c>
      <c r="P315" s="31">
        <f t="shared" si="17"/>
        <v>0</v>
      </c>
      <c r="Q315" s="31">
        <f t="shared" si="17"/>
        <v>0</v>
      </c>
      <c r="R315" s="31"/>
      <c r="S315" s="11">
        <f t="shared" si="16"/>
        <v>0</v>
      </c>
      <c r="T315" s="2">
        <f>Resource!L60</f>
        <v>0</v>
      </c>
      <c r="U315" s="176">
        <f>Resource!M60/100</f>
        <v>0</v>
      </c>
    </row>
    <row r="316" spans="1:21">
      <c r="A316" s="39" t="s">
        <v>5</v>
      </c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11"/>
    </row>
    <row r="317" spans="1:21">
      <c r="A317" s="5" t="s">
        <v>188</v>
      </c>
      <c r="B317" s="91">
        <f>SUM(B265:B315)</f>
        <v>0</v>
      </c>
      <c r="C317" s="91">
        <f t="shared" ref="C317:Q317" si="18">SUM(C265:C315)</f>
        <v>0</v>
      </c>
      <c r="D317" s="91">
        <f t="shared" si="18"/>
        <v>0</v>
      </c>
      <c r="E317" s="91">
        <f t="shared" si="18"/>
        <v>240254.96293236184</v>
      </c>
      <c r="F317" s="91">
        <f t="shared" si="18"/>
        <v>331942.81188018218</v>
      </c>
      <c r="G317" s="91">
        <f t="shared" si="18"/>
        <v>295315.81752015901</v>
      </c>
      <c r="H317" s="91">
        <f t="shared" si="18"/>
        <v>288976.74339492241</v>
      </c>
      <c r="I317" s="91">
        <f t="shared" si="18"/>
        <v>290701.88652194384</v>
      </c>
      <c r="J317" s="91">
        <f t="shared" si="18"/>
        <v>291971.00162641361</v>
      </c>
      <c r="K317" s="91">
        <f t="shared" si="18"/>
        <v>296881.05285332788</v>
      </c>
      <c r="L317" s="91">
        <f t="shared" si="18"/>
        <v>289796.05788969755</v>
      </c>
      <c r="M317" s="91">
        <f t="shared" si="18"/>
        <v>292990.0092826584</v>
      </c>
      <c r="N317" s="91">
        <f t="shared" si="18"/>
        <v>300553.20540701691</v>
      </c>
      <c r="O317" s="91">
        <f t="shared" si="18"/>
        <v>308601.61795719637</v>
      </c>
      <c r="P317" s="91">
        <f t="shared" si="18"/>
        <v>312209.33301242912</v>
      </c>
      <c r="Q317" s="91">
        <f t="shared" si="18"/>
        <v>466306.9997216909</v>
      </c>
      <c r="R317" s="91"/>
      <c r="S317" s="92">
        <f>SUM(B317:R317)</f>
        <v>4006501.5</v>
      </c>
      <c r="T317" s="2">
        <f>Resource!L63</f>
        <v>4006501.5</v>
      </c>
    </row>
    <row r="318" spans="1:21">
      <c r="A318" s="5" t="s">
        <v>246</v>
      </c>
      <c r="B318" s="177">
        <f>IF(B317=0,0,SUMPRODUCT(B265:B315,$U265:$U315)/B317)</f>
        <v>0</v>
      </c>
      <c r="C318" s="177">
        <f t="shared" ref="C318" si="19">IF(C317=0,0,SUMPRODUCT(C265:C315,$U265:$U315)/C317)</f>
        <v>0</v>
      </c>
      <c r="D318" s="177">
        <f t="shared" ref="D318" si="20">IF(D317=0,0,SUMPRODUCT(D265:D315,$U265:$U315)/D317)</f>
        <v>0</v>
      </c>
      <c r="E318" s="177">
        <f t="shared" ref="E318" si="21">IF(E317=0,0,SUMPRODUCT(E265:E315,$U265:$U315)/E317)</f>
        <v>0.39244368413237435</v>
      </c>
      <c r="F318" s="177">
        <f t="shared" ref="F318" si="22">IF(F317=0,0,SUMPRODUCT(F265:F315,$U265:$U315)/F317)</f>
        <v>0.35489120015648512</v>
      </c>
      <c r="G318" s="177">
        <f t="shared" ref="G318" si="23">IF(G317=0,0,SUMPRODUCT(G265:G315,$U265:$U315)/G317)</f>
        <v>0.39785379212584487</v>
      </c>
      <c r="H318" s="177">
        <f t="shared" ref="H318" si="24">IF(H317=0,0,SUMPRODUCT(H265:H315,$U265:$U315)/H317)</f>
        <v>0.4067690601607985</v>
      </c>
      <c r="I318" s="177">
        <f t="shared" ref="I318" si="25">IF(I317=0,0,SUMPRODUCT(I265:I315,$U265:$U315)/I317)</f>
        <v>0.40429738741439269</v>
      </c>
      <c r="J318" s="177">
        <f t="shared" ref="J318" si="26">IF(J317=0,0,SUMPRODUCT(J265:J315,$U265:$U315)/J317)</f>
        <v>0.40252914006061835</v>
      </c>
      <c r="K318" s="177">
        <f t="shared" ref="K318" si="27">IF(K317=0,0,SUMPRODUCT(K265:K315,$U265:$U315)/K317)</f>
        <v>0.39599639526481017</v>
      </c>
      <c r="L318" s="177">
        <f t="shared" ref="L318" si="28">IF(L317=0,0,SUMPRODUCT(L265:L315,$U265:$U315)/L317)</f>
        <v>0.40553808102212624</v>
      </c>
      <c r="M318" s="177">
        <f t="shared" ref="M318" si="29">IF(M317=0,0,SUMPRODUCT(M265:M315,$U265:$U315)/M317)</f>
        <v>0.40109806929827851</v>
      </c>
      <c r="N318" s="177">
        <f t="shared" ref="N318" si="30">IF(N317=0,0,SUMPRODUCT(N265:N315,$U265:$U315)/N317)</f>
        <v>0.39104950919037174</v>
      </c>
      <c r="O318" s="177">
        <f t="shared" ref="O318" si="31">IF(O317=0,0,SUMPRODUCT(O265:O315,$U265:$U315)/O317)</f>
        <v>0.38096579060735769</v>
      </c>
      <c r="P318" s="177">
        <f t="shared" ref="P318" si="32">IF(P317=0,0,SUMPRODUCT(P265:P315,$U265:$U315)/P317)</f>
        <v>0.37671776862591738</v>
      </c>
      <c r="Q318" s="177">
        <f t="shared" ref="Q318" si="33">IF(Q317=0,0,SUMPRODUCT(Q265:Q315,$U265:$U315)/Q317)</f>
        <v>0.40740680215132752</v>
      </c>
      <c r="R318" s="177"/>
      <c r="S318" s="178">
        <f>SUMPRODUCT(B317:R317,B318:R318)/S317</f>
        <v>0.39373015884307039</v>
      </c>
      <c r="T318" s="176">
        <f>Resource!M63/100</f>
        <v>0.39373015884307039</v>
      </c>
    </row>
    <row r="319" spans="1:21">
      <c r="A319" s="8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8"/>
    </row>
    <row r="322" spans="1:22">
      <c r="A322" s="13" t="s">
        <v>0</v>
      </c>
      <c r="B322" s="77"/>
      <c r="C322" s="77"/>
      <c r="D322" s="77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5"/>
    </row>
    <row r="323" spans="1:22">
      <c r="A323" s="16" t="str">
        <f>Title!$F$10</f>
        <v>ARTHUR RIVER MAGNESITE PROJECT</v>
      </c>
      <c r="B323" s="78"/>
      <c r="C323" s="78"/>
      <c r="D323" s="78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8"/>
    </row>
    <row r="324" spans="1:22">
      <c r="A324" s="16" t="str">
        <f>Title!$F$12</f>
        <v>ORDER OF MAGNITUDE COST STUDY: CALCINE PRODUCTION ONLY</v>
      </c>
      <c r="B324" s="78"/>
      <c r="C324" s="78"/>
      <c r="D324" s="78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8"/>
    </row>
    <row r="325" spans="1:22">
      <c r="A325" s="19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 t="str">
        <f>Title!$F$19</f>
        <v>3 October 2011</v>
      </c>
      <c r="R325" s="18"/>
    </row>
    <row r="326" spans="1:22">
      <c r="A326" s="20" t="s">
        <v>282</v>
      </c>
      <c r="B326" s="79"/>
      <c r="C326" s="79"/>
      <c r="D326" s="79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2"/>
    </row>
    <row r="327" spans="1:22">
      <c r="A327" s="46"/>
      <c r="B327" s="41" t="s">
        <v>26</v>
      </c>
      <c r="C327" s="41" t="s">
        <v>26</v>
      </c>
      <c r="D327" s="41" t="s">
        <v>26</v>
      </c>
      <c r="E327" s="41" t="s">
        <v>26</v>
      </c>
      <c r="F327" s="41" t="s">
        <v>26</v>
      </c>
      <c r="G327" s="41" t="s">
        <v>26</v>
      </c>
      <c r="H327" s="41" t="s">
        <v>26</v>
      </c>
      <c r="I327" s="41" t="s">
        <v>26</v>
      </c>
      <c r="J327" s="41" t="s">
        <v>26</v>
      </c>
      <c r="K327" s="41" t="s">
        <v>26</v>
      </c>
      <c r="L327" s="41" t="s">
        <v>26</v>
      </c>
      <c r="M327" s="41" t="s">
        <v>26</v>
      </c>
      <c r="N327" s="41" t="s">
        <v>26</v>
      </c>
      <c r="O327" s="41" t="s">
        <v>26</v>
      </c>
      <c r="P327" s="41" t="s">
        <v>26</v>
      </c>
      <c r="Q327" s="41" t="s">
        <v>26</v>
      </c>
      <c r="R327" s="62"/>
      <c r="U327" s="175" t="s">
        <v>247</v>
      </c>
    </row>
    <row r="328" spans="1:22">
      <c r="A328" s="8"/>
      <c r="B328" s="43">
        <v>-3</v>
      </c>
      <c r="C328" s="43">
        <v>-2</v>
      </c>
      <c r="D328" s="43">
        <v>-1</v>
      </c>
      <c r="E328" s="43">
        <v>1</v>
      </c>
      <c r="F328" s="43">
        <v>2</v>
      </c>
      <c r="G328" s="43">
        <v>3</v>
      </c>
      <c r="H328" s="43">
        <v>4</v>
      </c>
      <c r="I328" s="43">
        <v>5</v>
      </c>
      <c r="J328" s="43">
        <v>6</v>
      </c>
      <c r="K328" s="43">
        <v>7</v>
      </c>
      <c r="L328" s="43">
        <v>8</v>
      </c>
      <c r="M328" s="43">
        <v>9</v>
      </c>
      <c r="N328" s="43">
        <v>10</v>
      </c>
      <c r="O328" s="43">
        <v>11</v>
      </c>
      <c r="P328" s="43">
        <v>12</v>
      </c>
      <c r="Q328" s="43">
        <v>13</v>
      </c>
      <c r="R328" s="64"/>
    </row>
    <row r="329" spans="1:22">
      <c r="A329" s="39" t="s">
        <v>178</v>
      </c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140"/>
    </row>
    <row r="330" spans="1:22">
      <c r="A330" s="139">
        <v>195</v>
      </c>
      <c r="B330" s="31"/>
      <c r="C330" s="31"/>
      <c r="D330" s="31"/>
      <c r="E330" s="31">
        <f>IF(E$447=0,0,IF(SUM(E$395:E395)=E$447,'Phys Input'!$C$102,0))</f>
        <v>0</v>
      </c>
      <c r="F330" s="31">
        <f>IF(F$447=0,0,IF(SUM(F$395:F395)=F$447,'Phys Input'!$C$102,0))</f>
        <v>0</v>
      </c>
      <c r="G330" s="31">
        <f>IF(G$447=0,0,IF(SUM(G$395:G395)=G$447,'Phys Input'!$C$102,0))</f>
        <v>0</v>
      </c>
      <c r="H330" s="31">
        <f>IF(H$447=0,0,IF(SUM(H$395:H395)=H$447,'Phys Input'!$C$102,0))</f>
        <v>0</v>
      </c>
      <c r="I330" s="31">
        <f>IF(I$447=0,0,IF(SUM(I$395:I395)=I$447,'Phys Input'!$C$102,0))</f>
        <v>0</v>
      </c>
      <c r="J330" s="31">
        <f>IF(J$447=0,0,IF(SUM(J$395:J395)=J$447,'Phys Input'!$C$102,0))</f>
        <v>0</v>
      </c>
      <c r="K330" s="31">
        <f>IF(K$447=0,0,IF(SUM(K$395:K395)=K$447,'Phys Input'!$C$102,0))</f>
        <v>0</v>
      </c>
      <c r="L330" s="31">
        <f>IF(L$447=0,0,IF(SUM(L$395:L395)=L$447,'Phys Input'!$C$102,0))</f>
        <v>0</v>
      </c>
      <c r="M330" s="31">
        <f>IF(M$447=0,0,IF(SUM(M$395:M395)=M$447,'Phys Input'!$C$102,0))</f>
        <v>0</v>
      </c>
      <c r="N330" s="31">
        <f>IF(N$447=0,0,IF(SUM(N$395:N395)=N$447,'Phys Input'!$C$102,0))</f>
        <v>0</v>
      </c>
      <c r="O330" s="31">
        <f>IF(O$447=0,0,IF(SUM(O$395:O395)=O$447,'Phys Input'!$C$102,0))</f>
        <v>0</v>
      </c>
      <c r="P330" s="31">
        <f>IF(P$447=0,0,IF(SUM(P$395:P395)=P$447,'Phys Input'!$C$102,0))</f>
        <v>0</v>
      </c>
      <c r="Q330" s="31"/>
      <c r="R330" s="140"/>
      <c r="U330" s="176">
        <f>Resource!M10/100</f>
        <v>0</v>
      </c>
      <c r="V330" s="176"/>
    </row>
    <row r="331" spans="1:22">
      <c r="A331" s="141">
        <v>190</v>
      </c>
      <c r="B331" s="31"/>
      <c r="C331" s="31"/>
      <c r="D331" s="31"/>
      <c r="E331" s="31">
        <f>IF(SUM(E$395:E395)=E$447,0,IF(SUM(E$395:E396)=E$447,'Phys Input'!$C$102,0))</f>
        <v>0</v>
      </c>
      <c r="F331" s="31">
        <f>IF(SUM(F$395:F395)=F$447,0,IF(SUM(F$395:F396)=F$447,'Phys Input'!$C$102,0))</f>
        <v>0</v>
      </c>
      <c r="G331" s="31">
        <f>IF(SUM(G$395:G395)=G$447,0,IF(SUM(G$395:G396)=G$447,'Phys Input'!$C$102,0))</f>
        <v>0</v>
      </c>
      <c r="H331" s="31">
        <f>IF(SUM(H$395:H395)=H$447,0,IF(SUM(H$395:H396)=H$447,'Phys Input'!$C$102,0))</f>
        <v>0</v>
      </c>
      <c r="I331" s="31">
        <f>IF(SUM(I$395:I395)=I$447,0,IF(SUM(I$395:I396)=I$447,'Phys Input'!$C$102,0))</f>
        <v>0</v>
      </c>
      <c r="J331" s="31">
        <f>IF(SUM(J$395:J395)=J$447,0,IF(SUM(J$395:J396)=J$447,'Phys Input'!$C$102,0))</f>
        <v>0</v>
      </c>
      <c r="K331" s="31">
        <f>IF(SUM(K$395:K395)=K$447,0,IF(SUM(K$395:K396)=K$447,'Phys Input'!$C$102,0))</f>
        <v>0</v>
      </c>
      <c r="L331" s="31">
        <f>IF(SUM(L$395:L395)=L$447,0,IF(SUM(L$395:L396)=L$447,'Phys Input'!$C$102,0))</f>
        <v>0</v>
      </c>
      <c r="M331" s="31">
        <f>IF(SUM(M$395:M395)=M$447,0,IF(SUM(M$395:M396)=M$447,'Phys Input'!$C$102,0))</f>
        <v>0</v>
      </c>
      <c r="N331" s="31">
        <f>IF(SUM(N$395:N395)=N$447,0,IF(SUM(N$395:N396)=N$447,'Phys Input'!$C$102,0))</f>
        <v>0</v>
      </c>
      <c r="O331" s="31">
        <f>IF(SUM(O$395:O395)=O$447,0,IF(SUM(O$395:O396)=O$447,'Phys Input'!$C$102,0))</f>
        <v>0</v>
      </c>
      <c r="P331" s="31">
        <f>IF(SUM(P$395:P395)=P$447,0,IF(SUM(P$395:P396)=P$447,'Phys Input'!$C$102,0))</f>
        <v>0</v>
      </c>
      <c r="Q331" s="31"/>
      <c r="R331" s="140"/>
      <c r="U331" s="176">
        <f>Resource!M11/100</f>
        <v>0</v>
      </c>
      <c r="V331" s="176"/>
    </row>
    <row r="332" spans="1:22">
      <c r="A332" s="141">
        <v>185</v>
      </c>
      <c r="B332" s="31"/>
      <c r="C332" s="31"/>
      <c r="D332" s="31"/>
      <c r="E332" s="31">
        <f>IF(SUM(E$395:E396)=E$447,0,IF(SUM(E$395:E397)=E$447,'Phys Input'!$C$102,0))</f>
        <v>0</v>
      </c>
      <c r="F332" s="31">
        <f>IF(SUM(F$395:F396)=F$447,0,IF(SUM(F$395:F397)=F$447,'Phys Input'!$C$102,0))</f>
        <v>0</v>
      </c>
      <c r="G332" s="31">
        <f>IF(SUM(G$395:G396)=G$447,0,IF(SUM(G$395:G397)=G$447,'Phys Input'!$C$102,0))</f>
        <v>0</v>
      </c>
      <c r="H332" s="31">
        <f>IF(SUM(H$395:H396)=H$447,0,IF(SUM(H$395:H397)=H$447,'Phys Input'!$C$102,0))</f>
        <v>0</v>
      </c>
      <c r="I332" s="31">
        <f>IF(SUM(I$395:I396)=I$447,0,IF(SUM(I$395:I397)=I$447,'Phys Input'!$C$102,0))</f>
        <v>0</v>
      </c>
      <c r="J332" s="31">
        <f>IF(SUM(J$395:J396)=J$447,0,IF(SUM(J$395:J397)=J$447,'Phys Input'!$C$102,0))</f>
        <v>0</v>
      </c>
      <c r="K332" s="31">
        <f>IF(SUM(K$395:K396)=K$447,0,IF(SUM(K$395:K397)=K$447,'Phys Input'!$C$102,0))</f>
        <v>0</v>
      </c>
      <c r="L332" s="31">
        <f>IF(SUM(L$395:L396)=L$447,0,IF(SUM(L$395:L397)=L$447,'Phys Input'!$C$102,0))</f>
        <v>0</v>
      </c>
      <c r="M332" s="31">
        <f>IF(SUM(M$395:M396)=M$447,0,IF(SUM(M$395:M397)=M$447,'Phys Input'!$C$102,0))</f>
        <v>0</v>
      </c>
      <c r="N332" s="31">
        <f>IF(SUM(N$395:N396)=N$447,0,IF(SUM(N$395:N397)=N$447,'Phys Input'!$C$102,0))</f>
        <v>0</v>
      </c>
      <c r="O332" s="31">
        <f>IF(SUM(O$395:O396)=O$447,0,IF(SUM(O$395:O397)=O$447,'Phys Input'!$C$102,0))</f>
        <v>0</v>
      </c>
      <c r="P332" s="31">
        <f>IF(SUM(P$395:P396)=P$447,0,IF(SUM(P$395:P397)=P$447,'Phys Input'!$C$102,0))</f>
        <v>0</v>
      </c>
      <c r="Q332" s="31"/>
      <c r="R332" s="140"/>
      <c r="U332" s="176">
        <f>Resource!M12/100</f>
        <v>0</v>
      </c>
      <c r="V332" s="176"/>
    </row>
    <row r="333" spans="1:22">
      <c r="A333" s="141">
        <v>180</v>
      </c>
      <c r="B333" s="31"/>
      <c r="C333" s="31"/>
      <c r="D333" s="31"/>
      <c r="E333" s="31">
        <f>IF(SUM(E$395:E397)=E$447,0,IF(SUM(E$395:E398)=E$447,'Phys Input'!$C$102,0))</f>
        <v>0</v>
      </c>
      <c r="F333" s="31">
        <f>IF(SUM(F$395:F397)=F$447,0,IF(SUM(F$395:F398)=F$447,'Phys Input'!$C$102,0))</f>
        <v>0</v>
      </c>
      <c r="G333" s="31">
        <f>IF(SUM(G$395:G397)=G$447,0,IF(SUM(G$395:G398)=G$447,'Phys Input'!$C$102,0))</f>
        <v>0</v>
      </c>
      <c r="H333" s="31">
        <f>IF(SUM(H$395:H397)=H$447,0,IF(SUM(H$395:H398)=H$447,'Phys Input'!$C$102,0))</f>
        <v>0</v>
      </c>
      <c r="I333" s="31">
        <f>IF(SUM(I$395:I397)=I$447,0,IF(SUM(I$395:I398)=I$447,'Phys Input'!$C$102,0))</f>
        <v>0</v>
      </c>
      <c r="J333" s="31">
        <f>IF(SUM(J$395:J397)=J$447,0,IF(SUM(J$395:J398)=J$447,'Phys Input'!$C$102,0))</f>
        <v>0</v>
      </c>
      <c r="K333" s="31">
        <f>IF(SUM(K$395:K397)=K$447,0,IF(SUM(K$395:K398)=K$447,'Phys Input'!$C$102,0))</f>
        <v>0</v>
      </c>
      <c r="L333" s="31">
        <f>IF(SUM(L$395:L397)=L$447,0,IF(SUM(L$395:L398)=L$447,'Phys Input'!$C$102,0))</f>
        <v>0</v>
      </c>
      <c r="M333" s="31">
        <f>IF(SUM(M$395:M397)=M$447,0,IF(SUM(M$395:M398)=M$447,'Phys Input'!$C$102,0))</f>
        <v>0</v>
      </c>
      <c r="N333" s="31">
        <f>IF(SUM(N$395:N397)=N$447,0,IF(SUM(N$395:N398)=N$447,'Phys Input'!$C$102,0))</f>
        <v>0</v>
      </c>
      <c r="O333" s="31">
        <f>IF(SUM(O$395:O397)=O$447,0,IF(SUM(O$395:O398)=O$447,'Phys Input'!$C$102,0))</f>
        <v>0</v>
      </c>
      <c r="P333" s="31">
        <f>IF(SUM(P$395:P397)=P$447,0,IF(SUM(P$395:P398)=P$447,'Phys Input'!$C$102,0))</f>
        <v>0</v>
      </c>
      <c r="Q333" s="31"/>
      <c r="R333" s="140"/>
      <c r="U333" s="176">
        <f>Resource!M13/100</f>
        <v>0</v>
      </c>
      <c r="V333" s="176"/>
    </row>
    <row r="334" spans="1:22">
      <c r="A334" s="141">
        <v>175</v>
      </c>
      <c r="B334" s="31"/>
      <c r="C334" s="31"/>
      <c r="D334" s="31"/>
      <c r="E334" s="31">
        <f>IF(SUM(E$395:E398)=E$447,0,IF(SUM(E$395:E399)=E$447,'Phys Input'!$C$102,0))</f>
        <v>0</v>
      </c>
      <c r="F334" s="31">
        <f>IF(SUM(F$395:F398)=F$447,0,IF(SUM(F$395:F399)=F$447,'Phys Input'!$C$102,0))</f>
        <v>0</v>
      </c>
      <c r="G334" s="31">
        <f>IF(SUM(G$395:G398)=G$447,0,IF(SUM(G$395:G399)=G$447,'Phys Input'!$C$102,0))</f>
        <v>0</v>
      </c>
      <c r="H334" s="31">
        <f>IF(SUM(H$395:H398)=H$447,0,IF(SUM(H$395:H399)=H$447,'Phys Input'!$C$102,0))</f>
        <v>0</v>
      </c>
      <c r="I334" s="31">
        <f>IF(SUM(I$395:I398)=I$447,0,IF(SUM(I$395:I399)=I$447,'Phys Input'!$C$102,0))</f>
        <v>0</v>
      </c>
      <c r="J334" s="31">
        <f>IF(SUM(J$395:J398)=J$447,0,IF(SUM(J$395:J399)=J$447,'Phys Input'!$C$102,0))</f>
        <v>0</v>
      </c>
      <c r="K334" s="31">
        <f>IF(SUM(K$395:K398)=K$447,0,IF(SUM(K$395:K399)=K$447,'Phys Input'!$C$102,0))</f>
        <v>0</v>
      </c>
      <c r="L334" s="31">
        <f>IF(SUM(L$395:L398)=L$447,0,IF(SUM(L$395:L399)=L$447,'Phys Input'!$C$102,0))</f>
        <v>0</v>
      </c>
      <c r="M334" s="31">
        <f>IF(SUM(M$395:M398)=M$447,0,IF(SUM(M$395:M399)=M$447,'Phys Input'!$C$102,0))</f>
        <v>0</v>
      </c>
      <c r="N334" s="31">
        <f>IF(SUM(N$395:N398)=N$447,0,IF(SUM(N$395:N399)=N$447,'Phys Input'!$C$102,0))</f>
        <v>0</v>
      </c>
      <c r="O334" s="31">
        <f>IF(SUM(O$395:O398)=O$447,0,IF(SUM(O$395:O399)=O$447,'Phys Input'!$C$102,0))</f>
        <v>0</v>
      </c>
      <c r="P334" s="31">
        <f>IF(SUM(P$395:P398)=P$447,0,IF(SUM(P$395:P399)=P$447,'Phys Input'!$C$102,0))</f>
        <v>0</v>
      </c>
      <c r="Q334" s="31"/>
      <c r="R334" s="140"/>
      <c r="U334" s="176">
        <f>Resource!M14/100</f>
        <v>0</v>
      </c>
      <c r="V334" s="176"/>
    </row>
    <row r="335" spans="1:22">
      <c r="A335" s="141">
        <v>170</v>
      </c>
      <c r="B335" s="31"/>
      <c r="C335" s="31"/>
      <c r="D335" s="31"/>
      <c r="E335" s="31">
        <f>IF(SUM(E$395:E399)=E$447,0,IF(SUM(E$395:E400)=E$447,'Phys Input'!$C$102,0))</f>
        <v>0</v>
      </c>
      <c r="F335" s="31">
        <f>IF(SUM(F$395:F399)=F$447,0,IF(SUM(F$395:F400)=F$447,'Phys Input'!$C$102,0))</f>
        <v>0</v>
      </c>
      <c r="G335" s="31">
        <f>IF(SUM(G$395:G399)=G$447,0,IF(SUM(G$395:G400)=G$447,'Phys Input'!$C$102,0))</f>
        <v>0</v>
      </c>
      <c r="H335" s="31">
        <f>IF(SUM(H$395:H399)=H$447,0,IF(SUM(H$395:H400)=H$447,'Phys Input'!$C$102,0))</f>
        <v>0</v>
      </c>
      <c r="I335" s="31">
        <f>IF(SUM(I$395:I399)=I$447,0,IF(SUM(I$395:I400)=I$447,'Phys Input'!$C$102,0))</f>
        <v>0</v>
      </c>
      <c r="J335" s="31">
        <f>IF(SUM(J$395:J399)=J$447,0,IF(SUM(J$395:J400)=J$447,'Phys Input'!$C$102,0))</f>
        <v>0</v>
      </c>
      <c r="K335" s="31">
        <f>IF(SUM(K$395:K399)=K$447,0,IF(SUM(K$395:K400)=K$447,'Phys Input'!$C$102,0))</f>
        <v>0</v>
      </c>
      <c r="L335" s="31">
        <f>IF(SUM(L$395:L399)=L$447,0,IF(SUM(L$395:L400)=L$447,'Phys Input'!$C$102,0))</f>
        <v>0</v>
      </c>
      <c r="M335" s="31">
        <f>IF(SUM(M$395:M399)=M$447,0,IF(SUM(M$395:M400)=M$447,'Phys Input'!$C$102,0))</f>
        <v>0</v>
      </c>
      <c r="N335" s="31">
        <f>IF(SUM(N$395:N399)=N$447,0,IF(SUM(N$395:N400)=N$447,'Phys Input'!$C$102,0))</f>
        <v>0</v>
      </c>
      <c r="O335" s="31">
        <f>IF(SUM(O$395:O399)=O$447,0,IF(SUM(O$395:O400)=O$447,'Phys Input'!$C$102,0))</f>
        <v>0</v>
      </c>
      <c r="P335" s="31">
        <f>IF(SUM(P$395:P399)=P$447,0,IF(SUM(P$395:P400)=P$447,'Phys Input'!$C$102,0))</f>
        <v>0</v>
      </c>
      <c r="Q335" s="31"/>
      <c r="R335" s="140"/>
      <c r="U335" s="176">
        <f>Resource!M15/100</f>
        <v>0</v>
      </c>
      <c r="V335" s="176"/>
    </row>
    <row r="336" spans="1:22">
      <c r="A336" s="146">
        <v>165</v>
      </c>
      <c r="B336" s="31"/>
      <c r="C336" s="31"/>
      <c r="D336" s="31"/>
      <c r="E336" s="31">
        <f>IF(SUM(E$395:E400)=E$447,0,IF(SUM(E$395:E401)=E$447,'Phys Input'!$C$102,0))</f>
        <v>0</v>
      </c>
      <c r="F336" s="31">
        <f>IF(SUM(F$395:F400)=F$447,0,IF(SUM(F$395:F401)=F$447,'Phys Input'!$C$102,0))</f>
        <v>0</v>
      </c>
      <c r="G336" s="31">
        <f>IF(SUM(G$395:G400)=G$447,0,IF(SUM(G$395:G401)=G$447,'Phys Input'!$C$102,0))</f>
        <v>0</v>
      </c>
      <c r="H336" s="31">
        <f>IF(SUM(H$395:H400)=H$447,0,IF(SUM(H$395:H401)=H$447,'Phys Input'!$C$102,0))</f>
        <v>0</v>
      </c>
      <c r="I336" s="31">
        <f>IF(SUM(I$395:I400)=I$447,0,IF(SUM(I$395:I401)=I$447,'Phys Input'!$C$102,0))</f>
        <v>0</v>
      </c>
      <c r="J336" s="31">
        <f>IF(SUM(J$395:J400)=J$447,0,IF(SUM(J$395:J401)=J$447,'Phys Input'!$C$102,0))</f>
        <v>0</v>
      </c>
      <c r="K336" s="31">
        <f>IF(SUM(K$395:K400)=K$447,0,IF(SUM(K$395:K401)=K$447,'Phys Input'!$C$102,0))</f>
        <v>0</v>
      </c>
      <c r="L336" s="31">
        <f>IF(SUM(L$395:L400)=L$447,0,IF(SUM(L$395:L401)=L$447,'Phys Input'!$C$102,0))</f>
        <v>0</v>
      </c>
      <c r="M336" s="31">
        <f>IF(SUM(M$395:M400)=M$447,0,IF(SUM(M$395:M401)=M$447,'Phys Input'!$C$102,0))</f>
        <v>0</v>
      </c>
      <c r="N336" s="31">
        <f>IF(SUM(N$395:N400)=N$447,0,IF(SUM(N$395:N401)=N$447,'Phys Input'!$C$102,0))</f>
        <v>0</v>
      </c>
      <c r="O336" s="31">
        <f>IF(SUM(O$395:O400)=O$447,0,IF(SUM(O$395:O401)=O$447,'Phys Input'!$C$102,0))</f>
        <v>0</v>
      </c>
      <c r="P336" s="31">
        <f>IF(SUM(P$395:P400)=P$447,0,IF(SUM(P$395:P401)=P$447,'Phys Input'!$C$102,0))</f>
        <v>0</v>
      </c>
      <c r="Q336" s="31"/>
      <c r="R336" s="140"/>
      <c r="U336" s="176">
        <f>Resource!M16/100</f>
        <v>0</v>
      </c>
      <c r="V336" s="176"/>
    </row>
    <row r="337" spans="1:22">
      <c r="A337" s="146">
        <v>160</v>
      </c>
      <c r="B337" s="31"/>
      <c r="C337" s="31"/>
      <c r="D337" s="31"/>
      <c r="E337" s="31">
        <f>IF(SUM(E$395:E401)=E$447,0,IF(SUM(E$395:E402)=E$447,'Phys Input'!$C$102,0))</f>
        <v>0</v>
      </c>
      <c r="F337" s="31">
        <f>IF(SUM(F$395:F401)=F$447,0,IF(SUM(F$395:F402)=F$447,'Phys Input'!$C$102,0))</f>
        <v>0</v>
      </c>
      <c r="G337" s="31">
        <f>IF(SUM(G$395:G401)=G$447,0,IF(SUM(G$395:G402)=G$447,'Phys Input'!$C$102,0))</f>
        <v>0</v>
      </c>
      <c r="H337" s="31">
        <f>IF(SUM(H$395:H401)=H$447,0,IF(SUM(H$395:H402)=H$447,'Phys Input'!$C$102,0))</f>
        <v>0</v>
      </c>
      <c r="I337" s="31">
        <f>IF(SUM(I$395:I401)=I$447,0,IF(SUM(I$395:I402)=I$447,'Phys Input'!$C$102,0))</f>
        <v>0</v>
      </c>
      <c r="J337" s="31">
        <f>IF(SUM(J$395:J401)=J$447,0,IF(SUM(J$395:J402)=J$447,'Phys Input'!$C$102,0))</f>
        <v>0</v>
      </c>
      <c r="K337" s="31">
        <f>IF(SUM(K$395:K401)=K$447,0,IF(SUM(K$395:K402)=K$447,'Phys Input'!$C$102,0))</f>
        <v>0</v>
      </c>
      <c r="L337" s="31">
        <f>IF(SUM(L$395:L401)=L$447,0,IF(SUM(L$395:L402)=L$447,'Phys Input'!$C$102,0))</f>
        <v>0</v>
      </c>
      <c r="M337" s="31">
        <f>IF(SUM(M$395:M401)=M$447,0,IF(SUM(M$395:M402)=M$447,'Phys Input'!$C$102,0))</f>
        <v>0</v>
      </c>
      <c r="N337" s="31">
        <f>IF(SUM(N$395:N401)=N$447,0,IF(SUM(N$395:N402)=N$447,'Phys Input'!$C$102,0))</f>
        <v>0</v>
      </c>
      <c r="O337" s="31">
        <f>IF(SUM(O$395:O401)=O$447,0,IF(SUM(O$395:O402)=O$447,'Phys Input'!$C$102,0))</f>
        <v>0</v>
      </c>
      <c r="P337" s="31">
        <f>IF(SUM(P$395:P401)=P$447,0,IF(SUM(P$395:P402)=P$447,'Phys Input'!$C$102,0))</f>
        <v>0</v>
      </c>
      <c r="Q337" s="31"/>
      <c r="R337" s="140"/>
      <c r="U337" s="176">
        <f>Resource!M17/100</f>
        <v>0</v>
      </c>
      <c r="V337" s="176"/>
    </row>
    <row r="338" spans="1:22">
      <c r="A338" s="146">
        <v>155</v>
      </c>
      <c r="B338" s="31"/>
      <c r="C338" s="31"/>
      <c r="D338" s="31"/>
      <c r="E338" s="31">
        <f>IF(SUM(E$395:E402)=E$447,0,IF(SUM(E$395:E403)=E$447,'Phys Input'!$C$102,0))</f>
        <v>0</v>
      </c>
      <c r="F338" s="31">
        <f>IF(SUM(F$395:F402)=F$447,0,IF(SUM(F$395:F403)=F$447,'Phys Input'!$C$102,0))</f>
        <v>0</v>
      </c>
      <c r="G338" s="31">
        <f>IF(SUM(G$395:G402)=G$447,0,IF(SUM(G$395:G403)=G$447,'Phys Input'!$C$102,0))</f>
        <v>0</v>
      </c>
      <c r="H338" s="31">
        <f>IF(SUM(H$395:H402)=H$447,0,IF(SUM(H$395:H403)=H$447,'Phys Input'!$C$102,0))</f>
        <v>0</v>
      </c>
      <c r="I338" s="31">
        <f>IF(SUM(I$395:I402)=I$447,0,IF(SUM(I$395:I403)=I$447,'Phys Input'!$C$102,0))</f>
        <v>0</v>
      </c>
      <c r="J338" s="31">
        <f>IF(SUM(J$395:J402)=J$447,0,IF(SUM(J$395:J403)=J$447,'Phys Input'!$C$102,0))</f>
        <v>0</v>
      </c>
      <c r="K338" s="31">
        <f>IF(SUM(K$395:K402)=K$447,0,IF(SUM(K$395:K403)=K$447,'Phys Input'!$C$102,0))</f>
        <v>0</v>
      </c>
      <c r="L338" s="31">
        <f>IF(SUM(L$395:L402)=L$447,0,IF(SUM(L$395:L403)=L$447,'Phys Input'!$C$102,0))</f>
        <v>0</v>
      </c>
      <c r="M338" s="31">
        <f>IF(SUM(M$395:M402)=M$447,0,IF(SUM(M$395:M403)=M$447,'Phys Input'!$C$102,0))</f>
        <v>0</v>
      </c>
      <c r="N338" s="31">
        <f>IF(SUM(N$395:N402)=N$447,0,IF(SUM(N$395:N403)=N$447,'Phys Input'!$C$102,0))</f>
        <v>0</v>
      </c>
      <c r="O338" s="31">
        <f>IF(SUM(O$395:O402)=O$447,0,IF(SUM(O$395:O403)=O$447,'Phys Input'!$C$102,0))</f>
        <v>0</v>
      </c>
      <c r="P338" s="31">
        <f>IF(SUM(P$395:P402)=P$447,0,IF(SUM(P$395:P403)=P$447,'Phys Input'!$C$102,0))</f>
        <v>0</v>
      </c>
      <c r="Q338" s="31"/>
      <c r="R338" s="140"/>
      <c r="U338" s="176">
        <f>Resource!M18/100</f>
        <v>0.44299999999999995</v>
      </c>
      <c r="V338" s="176"/>
    </row>
    <row r="339" spans="1:22">
      <c r="A339" s="146">
        <v>150</v>
      </c>
      <c r="B339" s="31"/>
      <c r="C339" s="31"/>
      <c r="D339" s="31"/>
      <c r="E339" s="31">
        <f>IF(SUM(E$395:E403)=E$447,0,IF(SUM(E$395:E404)=E$447,'Phys Input'!$C$102,0))</f>
        <v>0</v>
      </c>
      <c r="F339" s="31">
        <f>IF(SUM(F$395:F403)=F$447,0,IF(SUM(F$395:F404)=F$447,'Phys Input'!$C$102,0))</f>
        <v>0</v>
      </c>
      <c r="G339" s="31">
        <f>IF(SUM(G$395:G403)=G$447,0,IF(SUM(G$395:G404)=G$447,'Phys Input'!$C$102,0))</f>
        <v>0</v>
      </c>
      <c r="H339" s="31">
        <f>IF(SUM(H$395:H403)=H$447,0,IF(SUM(H$395:H404)=H$447,'Phys Input'!$C$102,0))</f>
        <v>0</v>
      </c>
      <c r="I339" s="31">
        <f>IF(SUM(I$395:I403)=I$447,0,IF(SUM(I$395:I404)=I$447,'Phys Input'!$C$102,0))</f>
        <v>0</v>
      </c>
      <c r="J339" s="31">
        <f>IF(SUM(J$395:J403)=J$447,0,IF(SUM(J$395:J404)=J$447,'Phys Input'!$C$102,0))</f>
        <v>0</v>
      </c>
      <c r="K339" s="31">
        <f>IF(SUM(K$395:K403)=K$447,0,IF(SUM(K$395:K404)=K$447,'Phys Input'!$C$102,0))</f>
        <v>0</v>
      </c>
      <c r="L339" s="31">
        <f>IF(SUM(L$395:L403)=L$447,0,IF(SUM(L$395:L404)=L$447,'Phys Input'!$C$102,0))</f>
        <v>0</v>
      </c>
      <c r="M339" s="31">
        <f>IF(SUM(M$395:M403)=M$447,0,IF(SUM(M$395:M404)=M$447,'Phys Input'!$C$102,0))</f>
        <v>0</v>
      </c>
      <c r="N339" s="31">
        <f>IF(SUM(N$395:N403)=N$447,0,IF(SUM(N$395:N404)=N$447,'Phys Input'!$C$102,0))</f>
        <v>0</v>
      </c>
      <c r="O339" s="31">
        <f>IF(SUM(O$395:O403)=O$447,0,IF(SUM(O$395:O404)=O$447,'Phys Input'!$C$102,0))</f>
        <v>0</v>
      </c>
      <c r="P339" s="31">
        <f>IF(SUM(P$395:P403)=P$447,0,IF(SUM(P$395:P404)=P$447,'Phys Input'!$C$102,0))</f>
        <v>0</v>
      </c>
      <c r="Q339" s="31"/>
      <c r="R339" s="140"/>
      <c r="U339" s="176">
        <f>Resource!M19/100</f>
        <v>0.39128452710724171</v>
      </c>
      <c r="V339" s="176"/>
    </row>
    <row r="340" spans="1:22">
      <c r="A340" s="146">
        <v>145</v>
      </c>
      <c r="B340" s="31"/>
      <c r="C340" s="31"/>
      <c r="D340" s="31"/>
      <c r="E340" s="31">
        <f>IF(SUM(E$395:E404)=E$447,0,IF(SUM(E$395:E405)=E$447,'Phys Input'!$C$102,0))</f>
        <v>4000</v>
      </c>
      <c r="F340" s="31">
        <f>IF(SUM(F$395:F404)=F$447,0,IF(SUM(F$395:F405)=F$447,'Phys Input'!$C$102,0))</f>
        <v>0</v>
      </c>
      <c r="G340" s="31">
        <f>IF(SUM(G$395:G404)=G$447,0,IF(SUM(G$395:G405)=G$447,'Phys Input'!$C$102,0))</f>
        <v>0</v>
      </c>
      <c r="H340" s="31">
        <f>IF(SUM(H$395:H404)=H$447,0,IF(SUM(H$395:H405)=H$447,'Phys Input'!$C$102,0))</f>
        <v>0</v>
      </c>
      <c r="I340" s="31">
        <f>IF(SUM(I$395:I404)=I$447,0,IF(SUM(I$395:I405)=I$447,'Phys Input'!$C$102,0))</f>
        <v>0</v>
      </c>
      <c r="J340" s="31">
        <f>IF(SUM(J$395:J404)=J$447,0,IF(SUM(J$395:J405)=J$447,'Phys Input'!$C$102,0))</f>
        <v>0</v>
      </c>
      <c r="K340" s="31">
        <f>IF(SUM(K$395:K404)=K$447,0,IF(SUM(K$395:K405)=K$447,'Phys Input'!$C$102,0))</f>
        <v>0</v>
      </c>
      <c r="L340" s="31">
        <f>IF(SUM(L$395:L404)=L$447,0,IF(SUM(L$395:L405)=L$447,'Phys Input'!$C$102,0))</f>
        <v>0</v>
      </c>
      <c r="M340" s="31">
        <f>IF(SUM(M$395:M404)=M$447,0,IF(SUM(M$395:M405)=M$447,'Phys Input'!$C$102,0))</f>
        <v>0</v>
      </c>
      <c r="N340" s="31">
        <f>IF(SUM(N$395:N404)=N$447,0,IF(SUM(N$395:N405)=N$447,'Phys Input'!$C$102,0))</f>
        <v>0</v>
      </c>
      <c r="O340" s="31">
        <f>IF(SUM(O$395:O404)=O$447,0,IF(SUM(O$395:O405)=O$447,'Phys Input'!$C$102,0))</f>
        <v>0</v>
      </c>
      <c r="P340" s="31">
        <f>IF(SUM(P$395:P404)=P$447,0,IF(SUM(P$395:P405)=P$447,'Phys Input'!$C$102,0))</f>
        <v>0</v>
      </c>
      <c r="Q340" s="31"/>
      <c r="R340" s="140"/>
      <c r="U340" s="176">
        <f>Resource!M20/100</f>
        <v>0.35614302804732156</v>
      </c>
      <c r="V340" s="176"/>
    </row>
    <row r="341" spans="1:22">
      <c r="A341" s="146">
        <v>140</v>
      </c>
      <c r="B341" s="31"/>
      <c r="C341" s="31"/>
      <c r="D341" s="31"/>
      <c r="E341" s="31">
        <f>IF(SUM(E$395:E405)=E$447,0,IF(SUM(E$395:E406)=E$447,'Phys Input'!$C$102,0))</f>
        <v>0</v>
      </c>
      <c r="F341" s="31">
        <f>IF(SUM(F$395:F405)=F$447,0,IF(SUM(F$395:F406)=F$447,'Phys Input'!$C$102,0))</f>
        <v>0</v>
      </c>
      <c r="G341" s="31">
        <f>IF(SUM(G$395:G405)=G$447,0,IF(SUM(G$395:G406)=G$447,'Phys Input'!$C$102,0))</f>
        <v>0</v>
      </c>
      <c r="H341" s="31">
        <f>IF(SUM(H$395:H405)=H$447,0,IF(SUM(H$395:H406)=H$447,'Phys Input'!$C$102,0))</f>
        <v>0</v>
      </c>
      <c r="I341" s="31">
        <f>IF(SUM(I$395:I405)=I$447,0,IF(SUM(I$395:I406)=I$447,'Phys Input'!$C$102,0))</f>
        <v>0</v>
      </c>
      <c r="J341" s="31">
        <f>IF(SUM(J$395:J405)=J$447,0,IF(SUM(J$395:J406)=J$447,'Phys Input'!$C$102,0))</f>
        <v>0</v>
      </c>
      <c r="K341" s="31">
        <f>IF(SUM(K$395:K405)=K$447,0,IF(SUM(K$395:K406)=K$447,'Phys Input'!$C$102,0))</f>
        <v>0</v>
      </c>
      <c r="L341" s="31">
        <f>IF(SUM(L$395:L405)=L$447,0,IF(SUM(L$395:L406)=L$447,'Phys Input'!$C$102,0))</f>
        <v>0</v>
      </c>
      <c r="M341" s="31">
        <f>IF(SUM(M$395:M405)=M$447,0,IF(SUM(M$395:M406)=M$447,'Phys Input'!$C$102,0))</f>
        <v>0</v>
      </c>
      <c r="N341" s="31">
        <f>IF(SUM(N$395:N405)=N$447,0,IF(SUM(N$395:N406)=N$447,'Phys Input'!$C$102,0))</f>
        <v>0</v>
      </c>
      <c r="O341" s="31">
        <f>IF(SUM(O$395:O405)=O$447,0,IF(SUM(O$395:O406)=O$447,'Phys Input'!$C$102,0))</f>
        <v>0</v>
      </c>
      <c r="P341" s="31">
        <f>IF(SUM(P$395:P405)=P$447,0,IF(SUM(P$395:P406)=P$447,'Phys Input'!$C$102,0))</f>
        <v>0</v>
      </c>
      <c r="Q341" s="31"/>
      <c r="R341" s="140"/>
      <c r="U341" s="176">
        <f>Resource!M21/100</f>
        <v>0.30226663794960151</v>
      </c>
      <c r="V341" s="176"/>
    </row>
    <row r="342" spans="1:22">
      <c r="A342" s="146">
        <v>135</v>
      </c>
      <c r="B342" s="31"/>
      <c r="C342" s="31"/>
      <c r="D342" s="31"/>
      <c r="E342" s="31">
        <f>IF(SUM(E$395:E406)=E$447,0,IF(SUM(E$395:E407)=E$447,'Phys Input'!$C$102,0))</f>
        <v>0</v>
      </c>
      <c r="F342" s="31">
        <f>IF(SUM(F$395:F406)=F$447,0,IF(SUM(F$395:F407)=F$447,'Phys Input'!$C$102,0))</f>
        <v>0</v>
      </c>
      <c r="G342" s="31">
        <f>IF(SUM(G$395:G406)=G$447,0,IF(SUM(G$395:G407)=G$447,'Phys Input'!$C$102,0))</f>
        <v>0</v>
      </c>
      <c r="H342" s="31">
        <f>IF(SUM(H$395:H406)=H$447,0,IF(SUM(H$395:H407)=H$447,'Phys Input'!$C$102,0))</f>
        <v>0</v>
      </c>
      <c r="I342" s="31">
        <f>IF(SUM(I$395:I406)=I$447,0,IF(SUM(I$395:I407)=I$447,'Phys Input'!$C$102,0))</f>
        <v>0</v>
      </c>
      <c r="J342" s="31">
        <f>IF(SUM(J$395:J406)=J$447,0,IF(SUM(J$395:J407)=J$447,'Phys Input'!$C$102,0))</f>
        <v>0</v>
      </c>
      <c r="K342" s="31">
        <f>IF(SUM(K$395:K406)=K$447,0,IF(SUM(K$395:K407)=K$447,'Phys Input'!$C$102,0))</f>
        <v>0</v>
      </c>
      <c r="L342" s="31">
        <f>IF(SUM(L$395:L406)=L$447,0,IF(SUM(L$395:L407)=L$447,'Phys Input'!$C$102,0))</f>
        <v>0</v>
      </c>
      <c r="M342" s="31">
        <f>IF(SUM(M$395:M406)=M$447,0,IF(SUM(M$395:M407)=M$447,'Phys Input'!$C$102,0))</f>
        <v>0</v>
      </c>
      <c r="N342" s="31">
        <f>IF(SUM(N$395:N406)=N$447,0,IF(SUM(N$395:N407)=N$447,'Phys Input'!$C$102,0))</f>
        <v>0</v>
      </c>
      <c r="O342" s="31">
        <f>IF(SUM(O$395:O406)=O$447,0,IF(SUM(O$395:O407)=O$447,'Phys Input'!$C$102,0))</f>
        <v>0</v>
      </c>
      <c r="P342" s="31">
        <f>IF(SUM(P$395:P406)=P$447,0,IF(SUM(P$395:P407)=P$447,'Phys Input'!$C$102,0))</f>
        <v>0</v>
      </c>
      <c r="Q342" s="31"/>
      <c r="R342" s="140"/>
      <c r="U342" s="176">
        <f>Resource!M22/100</f>
        <v>0.40183937007874015</v>
      </c>
      <c r="V342" s="176"/>
    </row>
    <row r="343" spans="1:22">
      <c r="A343" s="146">
        <v>130</v>
      </c>
      <c r="B343" s="31"/>
      <c r="C343" s="31"/>
      <c r="D343" s="31"/>
      <c r="E343" s="31">
        <f>IF(SUM(E$395:E407)=E$447,0,IF(SUM(E$395:E408)=E$447,'Phys Input'!$C$102,0))</f>
        <v>0</v>
      </c>
      <c r="F343" s="31">
        <f>IF(SUM(F$395:F407)=F$447,0,IF(SUM(F$395:F408)=F$447,'Phys Input'!$C$102,0))</f>
        <v>4000</v>
      </c>
      <c r="G343" s="31">
        <f>IF(SUM(G$395:G407)=G$447,0,IF(SUM(G$395:G408)=G$447,'Phys Input'!$C$102,0))</f>
        <v>0</v>
      </c>
      <c r="H343" s="31">
        <f>IF(SUM(H$395:H407)=H$447,0,IF(SUM(H$395:H408)=H$447,'Phys Input'!$C$102,0))</f>
        <v>0</v>
      </c>
      <c r="I343" s="31">
        <f>IF(SUM(I$395:I407)=I$447,0,IF(SUM(I$395:I408)=I$447,'Phys Input'!$C$102,0))</f>
        <v>0</v>
      </c>
      <c r="J343" s="31">
        <f>IF(SUM(J$395:J407)=J$447,0,IF(SUM(J$395:J408)=J$447,'Phys Input'!$C$102,0))</f>
        <v>0</v>
      </c>
      <c r="K343" s="31">
        <f>IF(SUM(K$395:K407)=K$447,0,IF(SUM(K$395:K408)=K$447,'Phys Input'!$C$102,0))</f>
        <v>0</v>
      </c>
      <c r="L343" s="31">
        <f>IF(SUM(L$395:L407)=L$447,0,IF(SUM(L$395:L408)=L$447,'Phys Input'!$C$102,0))</f>
        <v>0</v>
      </c>
      <c r="M343" s="31">
        <f>IF(SUM(M$395:M407)=M$447,0,IF(SUM(M$395:M408)=M$447,'Phys Input'!$C$102,0))</f>
        <v>0</v>
      </c>
      <c r="N343" s="31">
        <f>IF(SUM(N$395:N407)=N$447,0,IF(SUM(N$395:N408)=N$447,'Phys Input'!$C$102,0))</f>
        <v>0</v>
      </c>
      <c r="O343" s="31">
        <f>IF(SUM(O$395:O407)=O$447,0,IF(SUM(O$395:O408)=O$447,'Phys Input'!$C$102,0))</f>
        <v>0</v>
      </c>
      <c r="P343" s="31">
        <f>IF(SUM(P$395:P407)=P$447,0,IF(SUM(P$395:P408)=P$447,'Phys Input'!$C$102,0))</f>
        <v>0</v>
      </c>
      <c r="Q343" s="31"/>
      <c r="R343" s="140"/>
      <c r="U343" s="176">
        <f>Resource!M23/100</f>
        <v>0.42033917114617642</v>
      </c>
      <c r="V343" s="176"/>
    </row>
    <row r="344" spans="1:22">
      <c r="A344" s="146">
        <v>125</v>
      </c>
      <c r="B344" s="31"/>
      <c r="C344" s="31"/>
      <c r="D344" s="31"/>
      <c r="E344" s="31">
        <f>IF(SUM(E$395:E408)=E$447,0,IF(SUM(E$395:E409)=E$447,'Phys Input'!$C$102,0))</f>
        <v>0</v>
      </c>
      <c r="F344" s="31">
        <f>IF(SUM(F$395:F408)=F$447,0,IF(SUM(F$395:F409)=F$447,'Phys Input'!$C$102,0))</f>
        <v>0</v>
      </c>
      <c r="G344" s="31">
        <f>IF(SUM(G$395:G408)=G$447,0,IF(SUM(G$395:G409)=G$447,'Phys Input'!$C$102,0))</f>
        <v>0</v>
      </c>
      <c r="H344" s="31">
        <f>IF(SUM(H$395:H408)=H$447,0,IF(SUM(H$395:H409)=H$447,'Phys Input'!$C$102,0))</f>
        <v>0</v>
      </c>
      <c r="I344" s="31">
        <f>IF(SUM(I$395:I408)=I$447,0,IF(SUM(I$395:I409)=I$447,'Phys Input'!$C$102,0))</f>
        <v>0</v>
      </c>
      <c r="J344" s="31">
        <f>IF(SUM(J$395:J408)=J$447,0,IF(SUM(J$395:J409)=J$447,'Phys Input'!$C$102,0))</f>
        <v>0</v>
      </c>
      <c r="K344" s="31">
        <f>IF(SUM(K$395:K408)=K$447,0,IF(SUM(K$395:K409)=K$447,'Phys Input'!$C$102,0))</f>
        <v>0</v>
      </c>
      <c r="L344" s="31">
        <f>IF(SUM(L$395:L408)=L$447,0,IF(SUM(L$395:L409)=L$447,'Phys Input'!$C$102,0))</f>
        <v>0</v>
      </c>
      <c r="M344" s="31">
        <f>IF(SUM(M$395:M408)=M$447,0,IF(SUM(M$395:M409)=M$447,'Phys Input'!$C$102,0))</f>
        <v>0</v>
      </c>
      <c r="N344" s="31">
        <f>IF(SUM(N$395:N408)=N$447,0,IF(SUM(N$395:N409)=N$447,'Phys Input'!$C$102,0))</f>
        <v>0</v>
      </c>
      <c r="O344" s="31">
        <f>IF(SUM(O$395:O408)=O$447,0,IF(SUM(O$395:O409)=O$447,'Phys Input'!$C$102,0))</f>
        <v>0</v>
      </c>
      <c r="P344" s="31">
        <f>IF(SUM(P$395:P408)=P$447,0,IF(SUM(P$395:P409)=P$447,'Phys Input'!$C$102,0))</f>
        <v>0</v>
      </c>
      <c r="Q344" s="31"/>
      <c r="R344" s="140"/>
      <c r="U344" s="176">
        <f>Resource!M24/100</f>
        <v>0.36767723342939473</v>
      </c>
      <c r="V344" s="176"/>
    </row>
    <row r="345" spans="1:22">
      <c r="A345" s="146">
        <v>120</v>
      </c>
      <c r="B345" s="31"/>
      <c r="C345" s="31"/>
      <c r="D345" s="31"/>
      <c r="E345" s="31">
        <f>IF(SUM(E$395:E409)=E$447,0,IF(SUM(E$395:E410)=E$447,'Phys Input'!$C$102,0))</f>
        <v>0</v>
      </c>
      <c r="F345" s="31">
        <f>IF(SUM(F$395:F409)=F$447,0,IF(SUM(F$395:F410)=F$447,'Phys Input'!$C$102,0))</f>
        <v>0</v>
      </c>
      <c r="G345" s="31">
        <f>IF(SUM(G$395:G409)=G$447,0,IF(SUM(G$395:G410)=G$447,'Phys Input'!$C$102,0))</f>
        <v>0</v>
      </c>
      <c r="H345" s="31">
        <f>IF(SUM(H$395:H409)=H$447,0,IF(SUM(H$395:H410)=H$447,'Phys Input'!$C$102,0))</f>
        <v>0</v>
      </c>
      <c r="I345" s="31">
        <f>IF(SUM(I$395:I409)=I$447,0,IF(SUM(I$395:I410)=I$447,'Phys Input'!$C$102,0))</f>
        <v>0</v>
      </c>
      <c r="J345" s="31">
        <f>IF(SUM(J$395:J409)=J$447,0,IF(SUM(J$395:J410)=J$447,'Phys Input'!$C$102,0))</f>
        <v>0</v>
      </c>
      <c r="K345" s="31">
        <f>IF(SUM(K$395:K409)=K$447,0,IF(SUM(K$395:K410)=K$447,'Phys Input'!$C$102,0))</f>
        <v>0</v>
      </c>
      <c r="L345" s="31">
        <f>IF(SUM(L$395:L409)=L$447,0,IF(SUM(L$395:L410)=L$447,'Phys Input'!$C$102,0))</f>
        <v>0</v>
      </c>
      <c r="M345" s="31">
        <f>IF(SUM(M$395:M409)=M$447,0,IF(SUM(M$395:M410)=M$447,'Phys Input'!$C$102,0))</f>
        <v>0</v>
      </c>
      <c r="N345" s="31">
        <f>IF(SUM(N$395:N409)=N$447,0,IF(SUM(N$395:N410)=N$447,'Phys Input'!$C$102,0))</f>
        <v>0</v>
      </c>
      <c r="O345" s="31">
        <f>IF(SUM(O$395:O409)=O$447,0,IF(SUM(O$395:O410)=O$447,'Phys Input'!$C$102,0))</f>
        <v>0</v>
      </c>
      <c r="P345" s="31">
        <f>IF(SUM(P$395:P409)=P$447,0,IF(SUM(P$395:P410)=P$447,'Phys Input'!$C$102,0))</f>
        <v>0</v>
      </c>
      <c r="Q345" s="31"/>
      <c r="R345" s="140"/>
      <c r="U345" s="176">
        <f>Resource!M25/100</f>
        <v>0</v>
      </c>
      <c r="V345" s="176"/>
    </row>
    <row r="346" spans="1:22">
      <c r="A346" s="146">
        <v>115</v>
      </c>
      <c r="B346" s="31"/>
      <c r="C346" s="31"/>
      <c r="D346" s="31"/>
      <c r="E346" s="31">
        <f>IF(SUM(E$395:E410)=E$447,0,IF(SUM(E$395:E411)=E$447,'Phys Input'!$C$102,0))</f>
        <v>0</v>
      </c>
      <c r="F346" s="31">
        <f>IF(SUM(F$395:F410)=F$447,0,IF(SUM(F$395:F411)=F$447,'Phys Input'!$C$102,0))</f>
        <v>0</v>
      </c>
      <c r="G346" s="31">
        <f>IF(SUM(G$395:G410)=G$447,0,IF(SUM(G$395:G411)=G$447,'Phys Input'!$C$102,0))</f>
        <v>0</v>
      </c>
      <c r="H346" s="31">
        <f>IF(SUM(H$395:H410)=H$447,0,IF(SUM(H$395:H411)=H$447,'Phys Input'!$C$102,0))</f>
        <v>0</v>
      </c>
      <c r="I346" s="31">
        <f>IF(SUM(I$395:I410)=I$447,0,IF(SUM(I$395:I411)=I$447,'Phys Input'!$C$102,0))</f>
        <v>0</v>
      </c>
      <c r="J346" s="31">
        <f>IF(SUM(J$395:J410)=J$447,0,IF(SUM(J$395:J411)=J$447,'Phys Input'!$C$102,0))</f>
        <v>0</v>
      </c>
      <c r="K346" s="31">
        <f>IF(SUM(K$395:K410)=K$447,0,IF(SUM(K$395:K411)=K$447,'Phys Input'!$C$102,0))</f>
        <v>0</v>
      </c>
      <c r="L346" s="31">
        <f>IF(SUM(L$395:L410)=L$447,0,IF(SUM(L$395:L411)=L$447,'Phys Input'!$C$102,0))</f>
        <v>0</v>
      </c>
      <c r="M346" s="31">
        <f>IF(SUM(M$395:M410)=M$447,0,IF(SUM(M$395:M411)=M$447,'Phys Input'!$C$102,0))</f>
        <v>0</v>
      </c>
      <c r="N346" s="31">
        <f>IF(SUM(N$395:N410)=N$447,0,IF(SUM(N$395:N411)=N$447,'Phys Input'!$C$102,0))</f>
        <v>0</v>
      </c>
      <c r="O346" s="31">
        <f>IF(SUM(O$395:O410)=O$447,0,IF(SUM(O$395:O411)=O$447,'Phys Input'!$C$102,0))</f>
        <v>0</v>
      </c>
      <c r="P346" s="31">
        <f>IF(SUM(P$395:P410)=P$447,0,IF(SUM(P$395:P411)=P$447,'Phys Input'!$C$102,0))</f>
        <v>0</v>
      </c>
      <c r="Q346" s="31"/>
      <c r="R346" s="140"/>
      <c r="U346" s="176">
        <f>Resource!M26/100</f>
        <v>0</v>
      </c>
      <c r="V346" s="176"/>
    </row>
    <row r="347" spans="1:22">
      <c r="A347" s="146">
        <v>110</v>
      </c>
      <c r="B347" s="31"/>
      <c r="C347" s="31"/>
      <c r="D347" s="31"/>
      <c r="E347" s="31">
        <f>IF(SUM(E$395:E411)=E$447,0,IF(SUM(E$395:E412)=E$447,'Phys Input'!$C$102,0))</f>
        <v>0</v>
      </c>
      <c r="F347" s="31">
        <f>IF(SUM(F$395:F411)=F$447,0,IF(SUM(F$395:F412)=F$447,'Phys Input'!$C$102,0))</f>
        <v>0</v>
      </c>
      <c r="G347" s="31">
        <f>IF(SUM(G$395:G411)=G$447,0,IF(SUM(G$395:G412)=G$447,'Phys Input'!$C$102,0))</f>
        <v>0</v>
      </c>
      <c r="H347" s="31">
        <f>IF(SUM(H$395:H411)=H$447,0,IF(SUM(H$395:H412)=H$447,'Phys Input'!$C$102,0))</f>
        <v>0</v>
      </c>
      <c r="I347" s="31">
        <f>IF(SUM(I$395:I411)=I$447,0,IF(SUM(I$395:I412)=I$447,'Phys Input'!$C$102,0))</f>
        <v>0</v>
      </c>
      <c r="J347" s="31">
        <f>IF(SUM(J$395:J411)=J$447,0,IF(SUM(J$395:J412)=J$447,'Phys Input'!$C$102,0))</f>
        <v>0</v>
      </c>
      <c r="K347" s="31">
        <f>IF(SUM(K$395:K411)=K$447,0,IF(SUM(K$395:K412)=K$447,'Phys Input'!$C$102,0))</f>
        <v>0</v>
      </c>
      <c r="L347" s="31">
        <f>IF(SUM(L$395:L411)=L$447,0,IF(SUM(L$395:L412)=L$447,'Phys Input'!$C$102,0))</f>
        <v>0</v>
      </c>
      <c r="M347" s="31">
        <f>IF(SUM(M$395:M411)=M$447,0,IF(SUM(M$395:M412)=M$447,'Phys Input'!$C$102,0))</f>
        <v>0</v>
      </c>
      <c r="N347" s="31">
        <f>IF(SUM(N$395:N411)=N$447,0,IF(SUM(N$395:N412)=N$447,'Phys Input'!$C$102,0))</f>
        <v>0</v>
      </c>
      <c r="O347" s="31">
        <f>IF(SUM(O$395:O411)=O$447,0,IF(SUM(O$395:O412)=O$447,'Phys Input'!$C$102,0))</f>
        <v>0</v>
      </c>
      <c r="P347" s="31">
        <f>IF(SUM(P$395:P411)=P$447,0,IF(SUM(P$395:P412)=P$447,'Phys Input'!$C$102,0))</f>
        <v>0</v>
      </c>
      <c r="Q347" s="31"/>
      <c r="R347" s="140"/>
      <c r="U347" s="176">
        <f>Resource!M27/100</f>
        <v>0</v>
      </c>
      <c r="V347" s="176"/>
    </row>
    <row r="348" spans="1:22">
      <c r="A348" s="112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140"/>
    </row>
    <row r="349" spans="1:22">
      <c r="A349" s="39" t="s">
        <v>179</v>
      </c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140"/>
    </row>
    <row r="350" spans="1:22">
      <c r="A350" s="146">
        <v>150</v>
      </c>
      <c r="B350" s="31"/>
      <c r="C350" s="31"/>
      <c r="D350" s="31"/>
      <c r="E350" s="31">
        <f>IF(SUM(E$395:E414)=E$447,0,IF(SUM(E$395:E415)=E$447,'Phys Input'!$C$102,0))</f>
        <v>0</v>
      </c>
      <c r="F350" s="31">
        <f>IF(SUM(F$395:F414)=F$447,0,IF(SUM(F$395:F415)=F$447,'Phys Input'!$C$102,0))</f>
        <v>0</v>
      </c>
      <c r="G350" s="31">
        <f>IF(SUM(G$395:G414)=G$447,0,IF(SUM(G$395:G415)=G$447,'Phys Input'!$C$102,0))</f>
        <v>0</v>
      </c>
      <c r="H350" s="31">
        <f>IF(SUM(H$395:H414)=H$447,0,IF(SUM(H$395:H415)=H$447,'Phys Input'!$C$102,0))</f>
        <v>0</v>
      </c>
      <c r="I350" s="31">
        <f>IF(SUM(I$395:I414)=I$447,0,IF(SUM(I$395:I415)=I$447,'Phys Input'!$C$102,0))</f>
        <v>0</v>
      </c>
      <c r="J350" s="31">
        <f>IF(SUM(J$395:J414)=J$447,0,IF(SUM(J$395:J415)=J$447,'Phys Input'!$C$102,0))</f>
        <v>0</v>
      </c>
      <c r="K350" s="31">
        <f>IF(SUM(K$395:K414)=K$447,0,IF(SUM(K$395:K415)=K$447,'Phys Input'!$C$102,0))</f>
        <v>0</v>
      </c>
      <c r="L350" s="31">
        <f>IF(SUM(L$395:L414)=L$447,0,IF(SUM(L$395:L415)=L$447,'Phys Input'!$C$102,0))</f>
        <v>0</v>
      </c>
      <c r="M350" s="31">
        <f>IF(SUM(M$395:M414)=M$447,0,IF(SUM(M$395:M415)=M$447,'Phys Input'!$C$102,0))</f>
        <v>0</v>
      </c>
      <c r="N350" s="31">
        <f>IF(SUM(N$395:N414)=N$447,0,IF(SUM(N$395:N415)=N$447,'Phys Input'!$C$102,0))</f>
        <v>0</v>
      </c>
      <c r="O350" s="31">
        <f>IF(SUM(O$395:O414)=O$447,0,IF(SUM(O$395:O415)=O$447,'Phys Input'!$C$102,0))</f>
        <v>0</v>
      </c>
      <c r="P350" s="31">
        <f>IF(SUM(P$395:P414)=P$447,0,IF(SUM(P$395:P415)=P$447,'Phys Input'!$C$102,0))</f>
        <v>0</v>
      </c>
      <c r="Q350" s="31"/>
      <c r="R350" s="140"/>
      <c r="U350" s="176">
        <f>Resource!M30/100</f>
        <v>0</v>
      </c>
      <c r="V350" s="176"/>
    </row>
    <row r="351" spans="1:22">
      <c r="A351" s="146">
        <v>145</v>
      </c>
      <c r="B351" s="31"/>
      <c r="C351" s="31"/>
      <c r="D351" s="31"/>
      <c r="E351" s="31">
        <f>IF(SUM(E$395:E415)=E$447,0,IF(SUM(E$395:E416)=E$447,'Phys Input'!$C$102,0))</f>
        <v>0</v>
      </c>
      <c r="F351" s="31">
        <f>IF(SUM(F$395:F415)=F$447,0,IF(SUM(F$395:F416)=F$447,'Phys Input'!$C$102,0))</f>
        <v>0</v>
      </c>
      <c r="G351" s="31">
        <f>IF(SUM(G$395:G415)=G$447,0,IF(SUM(G$395:G416)=G$447,'Phys Input'!$C$102,0))</f>
        <v>0</v>
      </c>
      <c r="H351" s="31">
        <f>IF(SUM(H$395:H415)=H$447,0,IF(SUM(H$395:H416)=H$447,'Phys Input'!$C$102,0))</f>
        <v>0</v>
      </c>
      <c r="I351" s="31">
        <f>IF(SUM(I$395:I415)=I$447,0,IF(SUM(I$395:I416)=I$447,'Phys Input'!$C$102,0))</f>
        <v>0</v>
      </c>
      <c r="J351" s="31">
        <f>IF(SUM(J$395:J415)=J$447,0,IF(SUM(J$395:J416)=J$447,'Phys Input'!$C$102,0))</f>
        <v>0</v>
      </c>
      <c r="K351" s="31">
        <f>IF(SUM(K$395:K415)=K$447,0,IF(SUM(K$395:K416)=K$447,'Phys Input'!$C$102,0))</f>
        <v>0</v>
      </c>
      <c r="L351" s="31">
        <f>IF(SUM(L$395:L415)=L$447,0,IF(SUM(L$395:L416)=L$447,'Phys Input'!$C$102,0))</f>
        <v>0</v>
      </c>
      <c r="M351" s="31">
        <f>IF(SUM(M$395:M415)=M$447,0,IF(SUM(M$395:M416)=M$447,'Phys Input'!$C$102,0))</f>
        <v>0</v>
      </c>
      <c r="N351" s="31">
        <f>IF(SUM(N$395:N415)=N$447,0,IF(SUM(N$395:N416)=N$447,'Phys Input'!$C$102,0))</f>
        <v>0</v>
      </c>
      <c r="O351" s="31">
        <f>IF(SUM(O$395:O415)=O$447,0,IF(SUM(O$395:O416)=O$447,'Phys Input'!$C$102,0))</f>
        <v>0</v>
      </c>
      <c r="P351" s="31">
        <f>IF(SUM(P$395:P415)=P$447,0,IF(SUM(P$395:P416)=P$447,'Phys Input'!$C$102,0))</f>
        <v>0</v>
      </c>
      <c r="Q351" s="31"/>
      <c r="R351" s="140"/>
      <c r="U351" s="176">
        <f>Resource!M31/100</f>
        <v>0</v>
      </c>
      <c r="V351" s="176"/>
    </row>
    <row r="352" spans="1:22">
      <c r="A352" s="146">
        <v>140</v>
      </c>
      <c r="B352" s="31"/>
      <c r="C352" s="31"/>
      <c r="D352" s="31"/>
      <c r="E352" s="31">
        <f>IF(SUM(E$395:E416)=E$447,0,IF(SUM(E$395:E417)=E$447,'Phys Input'!$C$102,0))</f>
        <v>0</v>
      </c>
      <c r="F352" s="31">
        <f>IF(SUM(F$395:F416)=F$447,0,IF(SUM(F$395:F417)=F$447,'Phys Input'!$C$102,0))</f>
        <v>0</v>
      </c>
      <c r="G352" s="31">
        <f>IF(SUM(G$395:G416)=G$447,0,IF(SUM(G$395:G417)=G$447,'Phys Input'!$C$102,0))</f>
        <v>0</v>
      </c>
      <c r="H352" s="31">
        <f>IF(SUM(H$395:H416)=H$447,0,IF(SUM(H$395:H417)=H$447,'Phys Input'!$C$102,0))</f>
        <v>0</v>
      </c>
      <c r="I352" s="31">
        <f>IF(SUM(I$395:I416)=I$447,0,IF(SUM(I$395:I417)=I$447,'Phys Input'!$C$102,0))</f>
        <v>0</v>
      </c>
      <c r="J352" s="31">
        <f>IF(SUM(J$395:J416)=J$447,0,IF(SUM(J$395:J417)=J$447,'Phys Input'!$C$102,0))</f>
        <v>0</v>
      </c>
      <c r="K352" s="31">
        <f>IF(SUM(K$395:K416)=K$447,0,IF(SUM(K$395:K417)=K$447,'Phys Input'!$C$102,0))</f>
        <v>0</v>
      </c>
      <c r="L352" s="31">
        <f>IF(SUM(L$395:L416)=L$447,0,IF(SUM(L$395:L417)=L$447,'Phys Input'!$C$102,0))</f>
        <v>0</v>
      </c>
      <c r="M352" s="31">
        <f>IF(SUM(M$395:M416)=M$447,0,IF(SUM(M$395:M417)=M$447,'Phys Input'!$C$102,0))</f>
        <v>0</v>
      </c>
      <c r="N352" s="31">
        <f>IF(SUM(N$395:N416)=N$447,0,IF(SUM(N$395:N417)=N$447,'Phys Input'!$C$102,0))</f>
        <v>0</v>
      </c>
      <c r="O352" s="31">
        <f>IF(SUM(O$395:O416)=O$447,0,IF(SUM(O$395:O417)=O$447,'Phys Input'!$C$102,0))</f>
        <v>0</v>
      </c>
      <c r="P352" s="31">
        <f>IF(SUM(P$395:P416)=P$447,0,IF(SUM(P$395:P417)=P$447,'Phys Input'!$C$102,0))</f>
        <v>0</v>
      </c>
      <c r="Q352" s="31"/>
      <c r="R352" s="140"/>
      <c r="U352" s="176">
        <f>Resource!M32/100</f>
        <v>0</v>
      </c>
      <c r="V352" s="176"/>
    </row>
    <row r="353" spans="1:22">
      <c r="A353" s="146">
        <v>135</v>
      </c>
      <c r="B353" s="31"/>
      <c r="C353" s="31"/>
      <c r="D353" s="31"/>
      <c r="E353" s="31">
        <f>IF(SUM(E$395:E417)=E$447,0,IF(SUM(E$395:E418)=E$447,'Phys Input'!$C$102,0))</f>
        <v>0</v>
      </c>
      <c r="F353" s="31">
        <f>IF(SUM(F$395:F417)=F$447,0,IF(SUM(F$395:F418)=F$447,'Phys Input'!$C$102,0))</f>
        <v>0</v>
      </c>
      <c r="G353" s="31">
        <f>IF(SUM(G$395:G417)=G$447,0,IF(SUM(G$395:G418)=G$447,'Phys Input'!$C$102,0))</f>
        <v>0</v>
      </c>
      <c r="H353" s="31">
        <f>IF(SUM(H$395:H417)=H$447,0,IF(SUM(H$395:H418)=H$447,'Phys Input'!$C$102,0))</f>
        <v>0</v>
      </c>
      <c r="I353" s="31">
        <f>IF(SUM(I$395:I417)=I$447,0,IF(SUM(I$395:I418)=I$447,'Phys Input'!$C$102,0))</f>
        <v>0</v>
      </c>
      <c r="J353" s="31">
        <f>IF(SUM(J$395:J417)=J$447,0,IF(SUM(J$395:J418)=J$447,'Phys Input'!$C$102,0))</f>
        <v>0</v>
      </c>
      <c r="K353" s="31">
        <f>IF(SUM(K$395:K417)=K$447,0,IF(SUM(K$395:K418)=K$447,'Phys Input'!$C$102,0))</f>
        <v>0</v>
      </c>
      <c r="L353" s="31">
        <f>IF(SUM(L$395:L417)=L$447,0,IF(SUM(L$395:L418)=L$447,'Phys Input'!$C$102,0))</f>
        <v>0</v>
      </c>
      <c r="M353" s="31">
        <f>IF(SUM(M$395:M417)=M$447,0,IF(SUM(M$395:M418)=M$447,'Phys Input'!$C$102,0))</f>
        <v>0</v>
      </c>
      <c r="N353" s="31">
        <f>IF(SUM(N$395:N417)=N$447,0,IF(SUM(N$395:N418)=N$447,'Phys Input'!$C$102,0))</f>
        <v>0</v>
      </c>
      <c r="O353" s="31">
        <f>IF(SUM(O$395:O417)=O$447,0,IF(SUM(O$395:O418)=O$447,'Phys Input'!$C$102,0))</f>
        <v>0</v>
      </c>
      <c r="P353" s="31">
        <f>IF(SUM(P$395:P417)=P$447,0,IF(SUM(P$395:P418)=P$447,'Phys Input'!$C$102,0))</f>
        <v>0</v>
      </c>
      <c r="Q353" s="31"/>
      <c r="R353" s="140"/>
      <c r="U353" s="176">
        <f>Resource!M33/100</f>
        <v>0</v>
      </c>
      <c r="V353" s="176"/>
    </row>
    <row r="354" spans="1:22">
      <c r="A354" s="146">
        <v>130</v>
      </c>
      <c r="B354" s="31"/>
      <c r="C354" s="31"/>
      <c r="D354" s="31"/>
      <c r="E354" s="31">
        <f>IF(SUM(E$395:E418)=E$447,0,IF(SUM(E$395:E419)=E$447,'Phys Input'!$C$102,0))</f>
        <v>0</v>
      </c>
      <c r="F354" s="31">
        <f>IF(SUM(F$395:F418)=F$447,0,IF(SUM(F$395:F419)=F$447,'Phys Input'!$C$102,0))</f>
        <v>0</v>
      </c>
      <c r="G354" s="31">
        <f>IF(SUM(G$395:G418)=G$447,0,IF(SUM(G$395:G419)=G$447,'Phys Input'!$C$102,0))</f>
        <v>0</v>
      </c>
      <c r="H354" s="31">
        <f>IF(SUM(H$395:H418)=H$447,0,IF(SUM(H$395:H419)=H$447,'Phys Input'!$C$102,0))</f>
        <v>0</v>
      </c>
      <c r="I354" s="31">
        <f>IF(SUM(I$395:I418)=I$447,0,IF(SUM(I$395:I419)=I$447,'Phys Input'!$C$102,0))</f>
        <v>0</v>
      </c>
      <c r="J354" s="31">
        <f>IF(SUM(J$395:J418)=J$447,0,IF(SUM(J$395:J419)=J$447,'Phys Input'!$C$102,0))</f>
        <v>0</v>
      </c>
      <c r="K354" s="31">
        <f>IF(SUM(K$395:K418)=K$447,0,IF(SUM(K$395:K419)=K$447,'Phys Input'!$C$102,0))</f>
        <v>0</v>
      </c>
      <c r="L354" s="31">
        <f>IF(SUM(L$395:L418)=L$447,0,IF(SUM(L$395:L419)=L$447,'Phys Input'!$C$102,0))</f>
        <v>0</v>
      </c>
      <c r="M354" s="31">
        <f>IF(SUM(M$395:M418)=M$447,0,IF(SUM(M$395:M419)=M$447,'Phys Input'!$C$102,0))</f>
        <v>0</v>
      </c>
      <c r="N354" s="31">
        <f>IF(SUM(N$395:N418)=N$447,0,IF(SUM(N$395:N419)=N$447,'Phys Input'!$C$102,0))</f>
        <v>0</v>
      </c>
      <c r="O354" s="31">
        <f>IF(SUM(O$395:O418)=O$447,0,IF(SUM(O$395:O419)=O$447,'Phys Input'!$C$102,0))</f>
        <v>0</v>
      </c>
      <c r="P354" s="31">
        <f>IF(SUM(P$395:P418)=P$447,0,IF(SUM(P$395:P419)=P$447,'Phys Input'!$C$102,0))</f>
        <v>0</v>
      </c>
      <c r="Q354" s="31"/>
      <c r="R354" s="140"/>
      <c r="U354" s="176">
        <f>Resource!M34/100</f>
        <v>0</v>
      </c>
      <c r="V354" s="176"/>
    </row>
    <row r="355" spans="1:22">
      <c r="A355" s="146">
        <v>125</v>
      </c>
      <c r="B355" s="31"/>
      <c r="C355" s="31"/>
      <c r="D355" s="31"/>
      <c r="E355" s="31">
        <f>IF(SUM(E$395:E419)=E$447,0,IF(SUM(E$395:E420)=E$447,'Phys Input'!$C$102,0))</f>
        <v>0</v>
      </c>
      <c r="F355" s="31">
        <f>IF(SUM(F$395:F419)=F$447,0,IF(SUM(F$395:F420)=F$447,'Phys Input'!$C$102,0))</f>
        <v>0</v>
      </c>
      <c r="G355" s="31">
        <f>IF(SUM(G$395:G419)=G$447,0,IF(SUM(G$395:G420)=G$447,'Phys Input'!$C$102,0))</f>
        <v>4000</v>
      </c>
      <c r="H355" s="31">
        <f>IF(SUM(H$395:H419)=H$447,0,IF(SUM(H$395:H420)=H$447,'Phys Input'!$C$102,0))</f>
        <v>4000</v>
      </c>
      <c r="I355" s="31">
        <f>IF(SUM(I$395:I419)=I$447,0,IF(SUM(I$395:I420)=I$447,'Phys Input'!$C$102,0))</f>
        <v>0</v>
      </c>
      <c r="J355" s="31">
        <f>IF(SUM(J$395:J419)=J$447,0,IF(SUM(J$395:J420)=J$447,'Phys Input'!$C$102,0))</f>
        <v>0</v>
      </c>
      <c r="K355" s="31">
        <f>IF(SUM(K$395:K419)=K$447,0,IF(SUM(K$395:K420)=K$447,'Phys Input'!$C$102,0))</f>
        <v>0</v>
      </c>
      <c r="L355" s="31">
        <f>IF(SUM(L$395:L419)=L$447,0,IF(SUM(L$395:L420)=L$447,'Phys Input'!$C$102,0))</f>
        <v>0</v>
      </c>
      <c r="M355" s="31">
        <f>IF(SUM(M$395:M419)=M$447,0,IF(SUM(M$395:M420)=M$447,'Phys Input'!$C$102,0))</f>
        <v>0</v>
      </c>
      <c r="N355" s="31">
        <f>IF(SUM(N$395:N419)=N$447,0,IF(SUM(N$395:N420)=N$447,'Phys Input'!$C$102,0))</f>
        <v>0</v>
      </c>
      <c r="O355" s="31">
        <f>IF(SUM(O$395:O419)=O$447,0,IF(SUM(O$395:O420)=O$447,'Phys Input'!$C$102,0))</f>
        <v>0</v>
      </c>
      <c r="P355" s="31">
        <f>IF(SUM(P$395:P419)=P$447,0,IF(SUM(P$395:P420)=P$447,'Phys Input'!$C$102,0))</f>
        <v>0</v>
      </c>
      <c r="Q355" s="31"/>
      <c r="R355" s="140"/>
      <c r="U355" s="176">
        <f>Resource!M35/100</f>
        <v>0.4067690601607985</v>
      </c>
      <c r="V355" s="176"/>
    </row>
    <row r="356" spans="1:22">
      <c r="A356" s="146">
        <v>120</v>
      </c>
      <c r="B356" s="31"/>
      <c r="C356" s="31"/>
      <c r="D356" s="31"/>
      <c r="E356" s="31">
        <f>IF(SUM(E$395:E420)=E$447,0,IF(SUM(E$395:E421)=E$447,'Phys Input'!$C$102,0))</f>
        <v>0</v>
      </c>
      <c r="F356" s="31">
        <f>IF(SUM(F$395:F420)=F$447,0,IF(SUM(F$395:F421)=F$447,'Phys Input'!$C$102,0))</f>
        <v>0</v>
      </c>
      <c r="G356" s="31">
        <f>IF(SUM(G$395:G420)=G$447,0,IF(SUM(G$395:G421)=G$447,'Phys Input'!$C$102,0))</f>
        <v>0</v>
      </c>
      <c r="H356" s="31">
        <f>IF(SUM(H$395:H420)=H$447,0,IF(SUM(H$395:H421)=H$447,'Phys Input'!$C$102,0))</f>
        <v>0</v>
      </c>
      <c r="I356" s="31">
        <f>IF(SUM(I$395:I420)=I$447,0,IF(SUM(I$395:I421)=I$447,'Phys Input'!$C$102,0))</f>
        <v>4000</v>
      </c>
      <c r="J356" s="31">
        <f>IF(SUM(J$395:J420)=J$447,0,IF(SUM(J$395:J421)=J$447,'Phys Input'!$C$102,0))</f>
        <v>0</v>
      </c>
      <c r="K356" s="31">
        <f>IF(SUM(K$395:K420)=K$447,0,IF(SUM(K$395:K421)=K$447,'Phys Input'!$C$102,0))</f>
        <v>0</v>
      </c>
      <c r="L356" s="31">
        <f>IF(SUM(L$395:L420)=L$447,0,IF(SUM(L$395:L421)=L$447,'Phys Input'!$C$102,0))</f>
        <v>0</v>
      </c>
      <c r="M356" s="31">
        <f>IF(SUM(M$395:M420)=M$447,0,IF(SUM(M$395:M421)=M$447,'Phys Input'!$C$102,0))</f>
        <v>0</v>
      </c>
      <c r="N356" s="31">
        <f>IF(SUM(N$395:N420)=N$447,0,IF(SUM(N$395:N421)=N$447,'Phys Input'!$C$102,0))</f>
        <v>0</v>
      </c>
      <c r="O356" s="31">
        <f>IF(SUM(O$395:O420)=O$447,0,IF(SUM(O$395:O421)=O$447,'Phys Input'!$C$102,0))</f>
        <v>0</v>
      </c>
      <c r="P356" s="31">
        <f>IF(SUM(P$395:P420)=P$447,0,IF(SUM(P$395:P421)=P$447,'Phys Input'!$C$102,0))</f>
        <v>0</v>
      </c>
      <c r="Q356" s="31"/>
      <c r="R356" s="140"/>
      <c r="U356" s="176">
        <f>Resource!M36/100</f>
        <v>0.40257278970488153</v>
      </c>
      <c r="V356" s="176"/>
    </row>
    <row r="357" spans="1:22">
      <c r="A357" s="146">
        <v>115</v>
      </c>
      <c r="B357" s="31"/>
      <c r="C357" s="31"/>
      <c r="D357" s="31"/>
      <c r="E357" s="31">
        <f>IF(SUM(E$395:E421)=E$447,0,IF(SUM(E$395:E422)=E$447,'Phys Input'!$C$102,0))</f>
        <v>0</v>
      </c>
      <c r="F357" s="31">
        <f>IF(SUM(F$395:F421)=F$447,0,IF(SUM(F$395:F422)=F$447,'Phys Input'!$C$102,0))</f>
        <v>0</v>
      </c>
      <c r="G357" s="31">
        <f>IF(SUM(G$395:G421)=G$447,0,IF(SUM(G$395:G422)=G$447,'Phys Input'!$C$102,0))</f>
        <v>0</v>
      </c>
      <c r="H357" s="31">
        <f>IF(SUM(H$395:H421)=H$447,0,IF(SUM(H$395:H422)=H$447,'Phys Input'!$C$102,0))</f>
        <v>0</v>
      </c>
      <c r="I357" s="31">
        <f>IF(SUM(I$395:I421)=I$447,0,IF(SUM(I$395:I422)=I$447,'Phys Input'!$C$102,0))</f>
        <v>0</v>
      </c>
      <c r="J357" s="31">
        <f>IF(SUM(J$395:J421)=J$447,0,IF(SUM(J$395:J422)=J$447,'Phys Input'!$C$102,0))</f>
        <v>4000</v>
      </c>
      <c r="K357" s="31">
        <f>IF(SUM(K$395:K421)=K$447,0,IF(SUM(K$395:K422)=K$447,'Phys Input'!$C$102,0))</f>
        <v>0</v>
      </c>
      <c r="L357" s="31">
        <f>IF(SUM(L$395:L421)=L$447,0,IF(SUM(L$395:L422)=L$447,'Phys Input'!$C$102,0))</f>
        <v>0</v>
      </c>
      <c r="M357" s="31">
        <f>IF(SUM(M$395:M421)=M$447,0,IF(SUM(M$395:M422)=M$447,'Phys Input'!$C$102,0))</f>
        <v>0</v>
      </c>
      <c r="N357" s="31">
        <f>IF(SUM(N$395:N421)=N$447,0,IF(SUM(N$395:N422)=N$447,'Phys Input'!$C$102,0))</f>
        <v>0</v>
      </c>
      <c r="O357" s="31">
        <f>IF(SUM(O$395:O421)=O$447,0,IF(SUM(O$395:O422)=O$447,'Phys Input'!$C$102,0))</f>
        <v>0</v>
      </c>
      <c r="P357" s="31">
        <f>IF(SUM(P$395:P421)=P$447,0,IF(SUM(P$395:P422)=P$447,'Phys Input'!$C$102,0))</f>
        <v>0</v>
      </c>
      <c r="Q357" s="31"/>
      <c r="R357" s="140"/>
      <c r="U357" s="176">
        <f>Resource!M37/100</f>
        <v>0.39758226176409261</v>
      </c>
      <c r="V357" s="176"/>
    </row>
    <row r="358" spans="1:22">
      <c r="A358" s="146">
        <v>110</v>
      </c>
      <c r="B358" s="31"/>
      <c r="C358" s="31"/>
      <c r="D358" s="31"/>
      <c r="E358" s="31">
        <f>IF(SUM(E$395:E422)=E$447,0,IF(SUM(E$395:E423)=E$447,'Phys Input'!$C$102,0))</f>
        <v>0</v>
      </c>
      <c r="F358" s="31">
        <f>IF(SUM(F$395:F422)=F$447,0,IF(SUM(F$395:F423)=F$447,'Phys Input'!$C$102,0))</f>
        <v>0</v>
      </c>
      <c r="G358" s="31">
        <f>IF(SUM(G$395:G422)=G$447,0,IF(SUM(G$395:G423)=G$447,'Phys Input'!$C$102,0))</f>
        <v>0</v>
      </c>
      <c r="H358" s="31">
        <f>IF(SUM(H$395:H422)=H$447,0,IF(SUM(H$395:H423)=H$447,'Phys Input'!$C$102,0))</f>
        <v>0</v>
      </c>
      <c r="I358" s="31">
        <f>IF(SUM(I$395:I422)=I$447,0,IF(SUM(I$395:I423)=I$447,'Phys Input'!$C$102,0))</f>
        <v>0</v>
      </c>
      <c r="J358" s="31">
        <f>IF(SUM(J$395:J422)=J$447,0,IF(SUM(J$395:J423)=J$447,'Phys Input'!$C$102,0))</f>
        <v>0</v>
      </c>
      <c r="K358" s="31">
        <f>IF(SUM(K$395:K422)=K$447,0,IF(SUM(K$395:K423)=K$447,'Phys Input'!$C$102,0))</f>
        <v>4000</v>
      </c>
      <c r="L358" s="31">
        <f>IF(SUM(L$395:L422)=L$447,0,IF(SUM(L$395:L423)=L$447,'Phys Input'!$C$102,0))</f>
        <v>0</v>
      </c>
      <c r="M358" s="31">
        <f>IF(SUM(M$395:M422)=M$447,0,IF(SUM(M$395:M423)=M$447,'Phys Input'!$C$102,0))</f>
        <v>0</v>
      </c>
      <c r="N358" s="31">
        <f>IF(SUM(N$395:N422)=N$447,0,IF(SUM(N$395:N423)=N$447,'Phys Input'!$C$102,0))</f>
        <v>0</v>
      </c>
      <c r="O358" s="31">
        <f>IF(SUM(O$395:O422)=O$447,0,IF(SUM(O$395:O423)=O$447,'Phys Input'!$C$102,0))</f>
        <v>0</v>
      </c>
      <c r="P358" s="31">
        <f>IF(SUM(P$395:P422)=P$447,0,IF(SUM(P$395:P423)=P$447,'Phys Input'!$C$102,0))</f>
        <v>0</v>
      </c>
      <c r="Q358" s="31"/>
      <c r="R358" s="140"/>
      <c r="U358" s="176">
        <f>Resource!M38/100</f>
        <v>0.4018393700787401</v>
      </c>
      <c r="V358" s="176"/>
    </row>
    <row r="359" spans="1:22">
      <c r="A359" s="139">
        <v>105</v>
      </c>
      <c r="B359" s="31"/>
      <c r="C359" s="31"/>
      <c r="D359" s="31"/>
      <c r="E359" s="31">
        <f>IF(SUM(E$395:E423)=E$447,0,IF(SUM(E$395:E424)=E$447,'Phys Input'!$C$102,0))</f>
        <v>0</v>
      </c>
      <c r="F359" s="31">
        <f>IF(SUM(F$395:F423)=F$447,0,IF(SUM(F$395:F424)=F$447,'Phys Input'!$C$102,0))</f>
        <v>0</v>
      </c>
      <c r="G359" s="31">
        <f>IF(SUM(G$395:G423)=G$447,0,IF(SUM(G$395:G424)=G$447,'Phys Input'!$C$102,0))</f>
        <v>0</v>
      </c>
      <c r="H359" s="31">
        <f>IF(SUM(H$395:H423)=H$447,0,IF(SUM(H$395:H424)=H$447,'Phys Input'!$C$102,0))</f>
        <v>0</v>
      </c>
      <c r="I359" s="31">
        <f>IF(SUM(I$395:I423)=I$447,0,IF(SUM(I$395:I424)=I$447,'Phys Input'!$C$102,0))</f>
        <v>0</v>
      </c>
      <c r="J359" s="31">
        <f>IF(SUM(J$395:J423)=J$447,0,IF(SUM(J$395:J424)=J$447,'Phys Input'!$C$102,0))</f>
        <v>0</v>
      </c>
      <c r="K359" s="31">
        <f>IF(SUM(K$395:K423)=K$447,0,IF(SUM(K$395:K424)=K$447,'Phys Input'!$C$102,0))</f>
        <v>0</v>
      </c>
      <c r="L359" s="31">
        <f>IF(SUM(L$395:L423)=L$447,0,IF(SUM(L$395:L424)=L$447,'Phys Input'!$C$102,0))</f>
        <v>4000</v>
      </c>
      <c r="M359" s="31">
        <f>IF(SUM(M$395:M423)=M$447,0,IF(SUM(M$395:M424)=M$447,'Phys Input'!$C$102,0))</f>
        <v>0</v>
      </c>
      <c r="N359" s="31">
        <f>IF(SUM(N$395:N423)=N$447,0,IF(SUM(N$395:N424)=N$447,'Phys Input'!$C$102,0))</f>
        <v>0</v>
      </c>
      <c r="O359" s="31">
        <f>IF(SUM(O$395:O423)=O$447,0,IF(SUM(O$395:O424)=O$447,'Phys Input'!$C$102,0))</f>
        <v>0</v>
      </c>
      <c r="P359" s="31">
        <f>IF(SUM(P$395:P423)=P$447,0,IF(SUM(P$395:P424)=P$447,'Phys Input'!$C$102,0))</f>
        <v>0</v>
      </c>
      <c r="Q359" s="31"/>
      <c r="R359" s="140"/>
      <c r="U359" s="176">
        <f>Resource!M39/100</f>
        <v>0.39597409139978401</v>
      </c>
      <c r="V359" s="176"/>
    </row>
    <row r="360" spans="1:22">
      <c r="A360" s="139">
        <v>100</v>
      </c>
      <c r="B360" s="31"/>
      <c r="C360" s="31"/>
      <c r="D360" s="31"/>
      <c r="E360" s="31">
        <f>IF(SUM(E$395:E424)=E$447,0,IF(SUM(E$395:E425)=E$447,'Phys Input'!$C$102,0))</f>
        <v>0</v>
      </c>
      <c r="F360" s="31">
        <f>IF(SUM(F$395:F424)=F$447,0,IF(SUM(F$395:F425)=F$447,'Phys Input'!$C$102,0))</f>
        <v>0</v>
      </c>
      <c r="G360" s="31">
        <f>IF(SUM(G$395:G424)=G$447,0,IF(SUM(G$395:G425)=G$447,'Phys Input'!$C$102,0))</f>
        <v>0</v>
      </c>
      <c r="H360" s="31">
        <f>IF(SUM(H$395:H424)=H$447,0,IF(SUM(H$395:H425)=H$447,'Phys Input'!$C$102,0))</f>
        <v>0</v>
      </c>
      <c r="I360" s="31">
        <f>IF(SUM(I$395:I424)=I$447,0,IF(SUM(I$395:I425)=I$447,'Phys Input'!$C$102,0))</f>
        <v>0</v>
      </c>
      <c r="J360" s="31">
        <f>IF(SUM(J$395:J424)=J$447,0,IF(SUM(J$395:J425)=J$447,'Phys Input'!$C$102,0))</f>
        <v>0</v>
      </c>
      <c r="K360" s="31">
        <f>IF(SUM(K$395:K424)=K$447,0,IF(SUM(K$395:K425)=K$447,'Phys Input'!$C$102,0))</f>
        <v>0</v>
      </c>
      <c r="L360" s="31">
        <f>IF(SUM(L$395:L424)=L$447,0,IF(SUM(L$395:L425)=L$447,'Phys Input'!$C$102,0))</f>
        <v>0</v>
      </c>
      <c r="M360" s="31">
        <f>IF(SUM(M$395:M424)=M$447,0,IF(SUM(M$395:M425)=M$447,'Phys Input'!$C$102,0))</f>
        <v>4000</v>
      </c>
      <c r="N360" s="31">
        <f>IF(SUM(N$395:N424)=N$447,0,IF(SUM(N$395:N425)=N$447,'Phys Input'!$C$102,0))</f>
        <v>0</v>
      </c>
      <c r="O360" s="31">
        <f>IF(SUM(O$395:O424)=O$447,0,IF(SUM(O$395:O425)=O$447,'Phys Input'!$C$102,0))</f>
        <v>0</v>
      </c>
      <c r="P360" s="31">
        <f>IF(SUM(P$395:P424)=P$447,0,IF(SUM(P$395:P425)=P$447,'Phys Input'!$C$102,0))</f>
        <v>0</v>
      </c>
      <c r="Q360" s="31"/>
      <c r="R360" s="140"/>
      <c r="U360" s="176">
        <f>Resource!M40/100</f>
        <v>0.38870627336933944</v>
      </c>
      <c r="V360" s="176"/>
    </row>
    <row r="361" spans="1:22">
      <c r="A361" s="139">
        <v>95</v>
      </c>
      <c r="B361" s="31"/>
      <c r="C361" s="31"/>
      <c r="D361" s="31"/>
      <c r="E361" s="31">
        <f>IF(SUM(E$395:E425)=E$447,0,IF(SUM(E$395:E426)=E$447,'Phys Input'!$C$102,0))</f>
        <v>0</v>
      </c>
      <c r="F361" s="31">
        <f>IF(SUM(F$395:F425)=F$447,0,IF(SUM(F$395:F426)=F$447,'Phys Input'!$C$102,0))</f>
        <v>0</v>
      </c>
      <c r="G361" s="31">
        <f>IF(SUM(G$395:G425)=G$447,0,IF(SUM(G$395:G426)=G$447,'Phys Input'!$C$102,0))</f>
        <v>0</v>
      </c>
      <c r="H361" s="31">
        <f>IF(SUM(H$395:H425)=H$447,0,IF(SUM(H$395:H426)=H$447,'Phys Input'!$C$102,0))</f>
        <v>0</v>
      </c>
      <c r="I361" s="31">
        <f>IF(SUM(I$395:I425)=I$447,0,IF(SUM(I$395:I426)=I$447,'Phys Input'!$C$102,0))</f>
        <v>0</v>
      </c>
      <c r="J361" s="31">
        <f>IF(SUM(J$395:J425)=J$447,0,IF(SUM(J$395:J426)=J$447,'Phys Input'!$C$102,0))</f>
        <v>0</v>
      </c>
      <c r="K361" s="31">
        <f>IF(SUM(K$395:K425)=K$447,0,IF(SUM(K$395:K426)=K$447,'Phys Input'!$C$102,0))</f>
        <v>0</v>
      </c>
      <c r="L361" s="31">
        <f>IF(SUM(L$395:L425)=L$447,0,IF(SUM(L$395:L426)=L$447,'Phys Input'!$C$102,0))</f>
        <v>0</v>
      </c>
      <c r="M361" s="31">
        <f>IF(SUM(M$395:M425)=M$447,0,IF(SUM(M$395:M426)=M$447,'Phys Input'!$C$102,0))</f>
        <v>0</v>
      </c>
      <c r="N361" s="31">
        <f>IF(SUM(N$395:N425)=N$447,0,IF(SUM(N$395:N426)=N$447,'Phys Input'!$C$102,0))</f>
        <v>4000</v>
      </c>
      <c r="O361" s="31">
        <f>IF(SUM(O$395:O425)=O$447,0,IF(SUM(O$395:O426)=O$447,'Phys Input'!$C$102,0))</f>
        <v>0</v>
      </c>
      <c r="P361" s="31">
        <f>IF(SUM(P$395:P425)=P$447,0,IF(SUM(P$395:P426)=P$447,'Phys Input'!$C$102,0))</f>
        <v>0</v>
      </c>
      <c r="Q361" s="31"/>
      <c r="R361" s="140"/>
      <c r="U361" s="176">
        <f>Resource!M41/100</f>
        <v>0.38480255860086637</v>
      </c>
      <c r="V361" s="176"/>
    </row>
    <row r="362" spans="1:22">
      <c r="A362" s="139">
        <v>90</v>
      </c>
      <c r="B362" s="31"/>
      <c r="C362" s="31"/>
      <c r="D362" s="31"/>
      <c r="E362" s="31">
        <f>IF(SUM(E$395:E426)=E$447,0,IF(SUM(E$395:E427)=E$447,'Phys Input'!$C$102,0))</f>
        <v>0</v>
      </c>
      <c r="F362" s="31">
        <f>IF(SUM(F$395:F426)=F$447,0,IF(SUM(F$395:F427)=F$447,'Phys Input'!$C$102,0))</f>
        <v>0</v>
      </c>
      <c r="G362" s="31">
        <f>IF(SUM(G$395:G426)=G$447,0,IF(SUM(G$395:G427)=G$447,'Phys Input'!$C$102,0))</f>
        <v>0</v>
      </c>
      <c r="H362" s="31">
        <f>IF(SUM(H$395:H426)=H$447,0,IF(SUM(H$395:H427)=H$447,'Phys Input'!$C$102,0))</f>
        <v>0</v>
      </c>
      <c r="I362" s="31">
        <f>IF(SUM(I$395:I426)=I$447,0,IF(SUM(I$395:I427)=I$447,'Phys Input'!$C$102,0))</f>
        <v>0</v>
      </c>
      <c r="J362" s="31">
        <f>IF(SUM(J$395:J426)=J$447,0,IF(SUM(J$395:J427)=J$447,'Phys Input'!$C$102,0))</f>
        <v>0</v>
      </c>
      <c r="K362" s="31">
        <f>IF(SUM(K$395:K426)=K$447,0,IF(SUM(K$395:K427)=K$447,'Phys Input'!$C$102,0))</f>
        <v>0</v>
      </c>
      <c r="L362" s="31">
        <f>IF(SUM(L$395:L426)=L$447,0,IF(SUM(L$395:L427)=L$447,'Phys Input'!$C$102,0))</f>
        <v>0</v>
      </c>
      <c r="M362" s="31">
        <f>IF(SUM(M$395:M426)=M$447,0,IF(SUM(M$395:M427)=M$447,'Phys Input'!$C$102,0))</f>
        <v>0</v>
      </c>
      <c r="N362" s="31">
        <f>IF(SUM(N$395:N426)=N$447,0,IF(SUM(N$395:N427)=N$447,'Phys Input'!$C$102,0))</f>
        <v>0</v>
      </c>
      <c r="O362" s="31">
        <f>IF(SUM(O$395:O426)=O$447,0,IF(SUM(O$395:O427)=O$447,'Phys Input'!$C$102,0))</f>
        <v>0</v>
      </c>
      <c r="P362" s="31">
        <f>IF(SUM(P$395:P426)=P$447,0,IF(SUM(P$395:P427)=P$447,'Phys Input'!$C$102,0))</f>
        <v>0</v>
      </c>
      <c r="Q362" s="31"/>
      <c r="R362" s="140"/>
      <c r="U362" s="176">
        <f>Resource!M42/100</f>
        <v>0.38645088706187791</v>
      </c>
      <c r="V362" s="176"/>
    </row>
    <row r="363" spans="1:22">
      <c r="A363" s="139">
        <v>85</v>
      </c>
      <c r="B363" s="31"/>
      <c r="C363" s="31"/>
      <c r="D363" s="31"/>
      <c r="E363" s="31">
        <f>IF(SUM(E$395:E427)=E$447,0,IF(SUM(E$395:E428)=E$447,'Phys Input'!$C$102,0))</f>
        <v>0</v>
      </c>
      <c r="F363" s="31">
        <f>IF(SUM(F$395:F427)=F$447,0,IF(SUM(F$395:F428)=F$447,'Phys Input'!$C$102,0))</f>
        <v>0</v>
      </c>
      <c r="G363" s="31">
        <f>IF(SUM(G$395:G427)=G$447,0,IF(SUM(G$395:G428)=G$447,'Phys Input'!$C$102,0))</f>
        <v>0</v>
      </c>
      <c r="H363" s="31">
        <f>IF(SUM(H$395:H427)=H$447,0,IF(SUM(H$395:H428)=H$447,'Phys Input'!$C$102,0))</f>
        <v>0</v>
      </c>
      <c r="I363" s="31">
        <f>IF(SUM(I$395:I427)=I$447,0,IF(SUM(I$395:I428)=I$447,'Phys Input'!$C$102,0))</f>
        <v>0</v>
      </c>
      <c r="J363" s="31">
        <f>IF(SUM(J$395:J427)=J$447,0,IF(SUM(J$395:J428)=J$447,'Phys Input'!$C$102,0))</f>
        <v>0</v>
      </c>
      <c r="K363" s="31">
        <f>IF(SUM(K$395:K427)=K$447,0,IF(SUM(K$395:K428)=K$447,'Phys Input'!$C$102,0))</f>
        <v>0</v>
      </c>
      <c r="L363" s="31">
        <f>IF(SUM(L$395:L427)=L$447,0,IF(SUM(L$395:L428)=L$447,'Phys Input'!$C$102,0))</f>
        <v>0</v>
      </c>
      <c r="M363" s="31">
        <f>IF(SUM(M$395:M427)=M$447,0,IF(SUM(M$395:M428)=M$447,'Phys Input'!$C$102,0))</f>
        <v>0</v>
      </c>
      <c r="N363" s="31">
        <f>IF(SUM(N$395:N427)=N$447,0,IF(SUM(N$395:N428)=N$447,'Phys Input'!$C$102,0))</f>
        <v>0</v>
      </c>
      <c r="O363" s="31">
        <f>IF(SUM(O$395:O427)=O$447,0,IF(SUM(O$395:O428)=O$447,'Phys Input'!$C$102,0))</f>
        <v>4000</v>
      </c>
      <c r="P363" s="31">
        <f>IF(SUM(P$395:P427)=P$447,0,IF(SUM(P$395:P428)=P$447,'Phys Input'!$C$102,0))</f>
        <v>0</v>
      </c>
      <c r="Q363" s="31"/>
      <c r="R363" s="140"/>
      <c r="U363" s="176">
        <f>Resource!M43/100</f>
        <v>0.38976782077393074</v>
      </c>
      <c r="V363" s="176"/>
    </row>
    <row r="364" spans="1:22">
      <c r="A364" s="141">
        <v>80</v>
      </c>
      <c r="B364" s="31"/>
      <c r="C364" s="31"/>
      <c r="D364" s="31"/>
      <c r="E364" s="31">
        <f>IF(SUM(E$395:E428)=E$447,0,IF(SUM(E$395:E429)=E$447,'Phys Input'!$C$102,0))</f>
        <v>0</v>
      </c>
      <c r="F364" s="31">
        <f>IF(SUM(F$395:F428)=F$447,0,IF(SUM(F$395:F429)=F$447,'Phys Input'!$C$102,0))</f>
        <v>0</v>
      </c>
      <c r="G364" s="31">
        <f>IF(SUM(G$395:G428)=G$447,0,IF(SUM(G$395:G429)=G$447,'Phys Input'!$C$102,0))</f>
        <v>0</v>
      </c>
      <c r="H364" s="31">
        <f>IF(SUM(H$395:H428)=H$447,0,IF(SUM(H$395:H429)=H$447,'Phys Input'!$C$102,0))</f>
        <v>0</v>
      </c>
      <c r="I364" s="31">
        <f>IF(SUM(I$395:I428)=I$447,0,IF(SUM(I$395:I429)=I$447,'Phys Input'!$C$102,0))</f>
        <v>0</v>
      </c>
      <c r="J364" s="31">
        <f>IF(SUM(J$395:J428)=J$447,0,IF(SUM(J$395:J429)=J$447,'Phys Input'!$C$102,0))</f>
        <v>0</v>
      </c>
      <c r="K364" s="31">
        <f>IF(SUM(K$395:K428)=K$447,0,IF(SUM(K$395:K429)=K$447,'Phys Input'!$C$102,0))</f>
        <v>0</v>
      </c>
      <c r="L364" s="31">
        <f>IF(SUM(L$395:L428)=L$447,0,IF(SUM(L$395:L429)=L$447,'Phys Input'!$C$102,0))</f>
        <v>0</v>
      </c>
      <c r="M364" s="31">
        <f>IF(SUM(M$395:M428)=M$447,0,IF(SUM(M$395:M429)=M$447,'Phys Input'!$C$102,0))</f>
        <v>0</v>
      </c>
      <c r="N364" s="31">
        <f>IF(SUM(N$395:N428)=N$447,0,IF(SUM(N$395:N429)=N$447,'Phys Input'!$C$102,0))</f>
        <v>0</v>
      </c>
      <c r="O364" s="31">
        <f>IF(SUM(O$395:O428)=O$447,0,IF(SUM(O$395:O429)=O$447,'Phys Input'!$C$102,0))</f>
        <v>0</v>
      </c>
      <c r="P364" s="31">
        <f>IF(SUM(P$395:P428)=P$447,0,IF(SUM(P$395:P429)=P$447,'Phys Input'!$C$102,0))</f>
        <v>0</v>
      </c>
      <c r="Q364" s="31"/>
      <c r="R364" s="140"/>
      <c r="U364" s="176">
        <f>Resource!M44/100</f>
        <v>0.39585193736921853</v>
      </c>
      <c r="V364" s="176"/>
    </row>
    <row r="365" spans="1:22">
      <c r="A365" s="141">
        <v>75</v>
      </c>
      <c r="B365" s="31"/>
      <c r="C365" s="31"/>
      <c r="D365" s="31"/>
      <c r="E365" s="31">
        <f>IF(SUM(E$395:E429)=E$447,0,IF(SUM(E$395:E430)=E$447,'Phys Input'!$C$102,0))</f>
        <v>0</v>
      </c>
      <c r="F365" s="31">
        <f>IF(SUM(F$395:F429)=F$447,0,IF(SUM(F$395:F430)=F$447,'Phys Input'!$C$102,0))</f>
        <v>0</v>
      </c>
      <c r="G365" s="31">
        <f>IF(SUM(G$395:G429)=G$447,0,IF(SUM(G$395:G430)=G$447,'Phys Input'!$C$102,0))</f>
        <v>0</v>
      </c>
      <c r="H365" s="31">
        <f>IF(SUM(H$395:H429)=H$447,0,IF(SUM(H$395:H430)=H$447,'Phys Input'!$C$102,0))</f>
        <v>0</v>
      </c>
      <c r="I365" s="31">
        <f>IF(SUM(I$395:I429)=I$447,0,IF(SUM(I$395:I430)=I$447,'Phys Input'!$C$102,0))</f>
        <v>0</v>
      </c>
      <c r="J365" s="31">
        <f>IF(SUM(J$395:J429)=J$447,0,IF(SUM(J$395:J430)=J$447,'Phys Input'!$C$102,0))</f>
        <v>0</v>
      </c>
      <c r="K365" s="31">
        <f>IF(SUM(K$395:K429)=K$447,0,IF(SUM(K$395:K430)=K$447,'Phys Input'!$C$102,0))</f>
        <v>0</v>
      </c>
      <c r="L365" s="31">
        <f>IF(SUM(L$395:L429)=L$447,0,IF(SUM(L$395:L430)=L$447,'Phys Input'!$C$102,0))</f>
        <v>0</v>
      </c>
      <c r="M365" s="31">
        <f>IF(SUM(M$395:M429)=M$447,0,IF(SUM(M$395:M430)=M$447,'Phys Input'!$C$102,0))</f>
        <v>0</v>
      </c>
      <c r="N365" s="31">
        <f>IF(SUM(N$395:N429)=N$447,0,IF(SUM(N$395:N430)=N$447,'Phys Input'!$C$102,0))</f>
        <v>0</v>
      </c>
      <c r="O365" s="31">
        <f>IF(SUM(O$395:O429)=O$447,0,IF(SUM(O$395:O430)=O$447,'Phys Input'!$C$102,0))</f>
        <v>0</v>
      </c>
      <c r="P365" s="31">
        <f>IF(SUM(P$395:P429)=P$447,0,IF(SUM(P$395:P430)=P$447,'Phys Input'!$C$102,0))</f>
        <v>4000</v>
      </c>
      <c r="Q365" s="31"/>
      <c r="R365" s="140"/>
      <c r="U365" s="176">
        <f>Resource!M45/100</f>
        <v>0.40676906016079839</v>
      </c>
      <c r="V365" s="176"/>
    </row>
    <row r="366" spans="1:22">
      <c r="A366" s="141">
        <v>70</v>
      </c>
      <c r="B366" s="31"/>
      <c r="C366" s="31"/>
      <c r="D366" s="31"/>
      <c r="E366" s="31">
        <f>IF(SUM(E$395:E430)=E$447,0,IF(SUM(E$395:E431)=E$447,'Phys Input'!$C$102,0))</f>
        <v>0</v>
      </c>
      <c r="F366" s="31">
        <f>IF(SUM(F$395:F430)=F$447,0,IF(SUM(F$395:F431)=F$447,'Phys Input'!$C$102,0))</f>
        <v>0</v>
      </c>
      <c r="G366" s="31">
        <f>IF(SUM(G$395:G430)=G$447,0,IF(SUM(G$395:G431)=G$447,'Phys Input'!$C$102,0))</f>
        <v>0</v>
      </c>
      <c r="H366" s="31">
        <f>IF(SUM(H$395:H430)=H$447,0,IF(SUM(H$395:H431)=H$447,'Phys Input'!$C$102,0))</f>
        <v>0</v>
      </c>
      <c r="I366" s="31">
        <f>IF(SUM(I$395:I430)=I$447,0,IF(SUM(I$395:I431)=I$447,'Phys Input'!$C$102,0))</f>
        <v>0</v>
      </c>
      <c r="J366" s="31">
        <f>IF(SUM(J$395:J430)=J$447,0,IF(SUM(J$395:J431)=J$447,'Phys Input'!$C$102,0))</f>
        <v>0</v>
      </c>
      <c r="K366" s="31">
        <f>IF(SUM(K$395:K430)=K$447,0,IF(SUM(K$395:K431)=K$447,'Phys Input'!$C$102,0))</f>
        <v>0</v>
      </c>
      <c r="L366" s="31">
        <f>IF(SUM(L$395:L430)=L$447,0,IF(SUM(L$395:L431)=L$447,'Phys Input'!$C$102,0))</f>
        <v>0</v>
      </c>
      <c r="M366" s="31">
        <f>IF(SUM(M$395:M430)=M$447,0,IF(SUM(M$395:M431)=M$447,'Phys Input'!$C$102,0))</f>
        <v>0</v>
      </c>
      <c r="N366" s="31">
        <f>IF(SUM(N$395:N430)=N$447,0,IF(SUM(N$395:N431)=N$447,'Phys Input'!$C$102,0))</f>
        <v>0</v>
      </c>
      <c r="O366" s="31">
        <f>IF(SUM(O$395:O430)=O$447,0,IF(SUM(O$395:O431)=O$447,'Phys Input'!$C$102,0))</f>
        <v>0</v>
      </c>
      <c r="P366" s="31">
        <f>IF(SUM(P$395:P430)=P$447,0,IF(SUM(P$395:P431)=P$447,'Phys Input'!$C$102,0))</f>
        <v>0</v>
      </c>
      <c r="Q366" s="31"/>
      <c r="R366" s="140"/>
      <c r="U366" s="176">
        <f>Resource!M46/100</f>
        <v>0.41064421886605595</v>
      </c>
      <c r="V366" s="176"/>
    </row>
    <row r="367" spans="1:22">
      <c r="A367" s="141">
        <v>65</v>
      </c>
      <c r="B367" s="31"/>
      <c r="C367" s="31"/>
      <c r="D367" s="31"/>
      <c r="E367" s="31">
        <f>IF(SUM(E$395:E431)=E$447,0,IF(SUM(E$395:E432)=E$447,'Phys Input'!$C$102,0))</f>
        <v>0</v>
      </c>
      <c r="F367" s="31">
        <f>IF(SUM(F$395:F431)=F$447,0,IF(SUM(F$395:F432)=F$447,'Phys Input'!$C$102,0))</f>
        <v>0</v>
      </c>
      <c r="G367" s="31">
        <f>IF(SUM(G$395:G431)=G$447,0,IF(SUM(G$395:G432)=G$447,'Phys Input'!$C$102,0))</f>
        <v>0</v>
      </c>
      <c r="H367" s="31">
        <f>IF(SUM(H$395:H431)=H$447,0,IF(SUM(H$395:H432)=H$447,'Phys Input'!$C$102,0))</f>
        <v>0</v>
      </c>
      <c r="I367" s="31">
        <f>IF(SUM(I$395:I431)=I$447,0,IF(SUM(I$395:I432)=I$447,'Phys Input'!$C$102,0))</f>
        <v>0</v>
      </c>
      <c r="J367" s="31">
        <f>IF(SUM(J$395:J431)=J$447,0,IF(SUM(J$395:J432)=J$447,'Phys Input'!$C$102,0))</f>
        <v>0</v>
      </c>
      <c r="K367" s="31">
        <f>IF(SUM(K$395:K431)=K$447,0,IF(SUM(K$395:K432)=K$447,'Phys Input'!$C$102,0))</f>
        <v>0</v>
      </c>
      <c r="L367" s="31">
        <f>IF(SUM(L$395:L431)=L$447,0,IF(SUM(L$395:L432)=L$447,'Phys Input'!$C$102,0))</f>
        <v>0</v>
      </c>
      <c r="M367" s="31">
        <f>IF(SUM(M$395:M431)=M$447,0,IF(SUM(M$395:M432)=M$447,'Phys Input'!$C$102,0))</f>
        <v>0</v>
      </c>
      <c r="N367" s="31">
        <f>IF(SUM(N$395:N431)=N$447,0,IF(SUM(N$395:N432)=N$447,'Phys Input'!$C$102,0))</f>
        <v>0</v>
      </c>
      <c r="O367" s="31">
        <f>IF(SUM(O$395:O431)=O$447,0,IF(SUM(O$395:O432)=O$447,'Phys Input'!$C$102,0))</f>
        <v>0</v>
      </c>
      <c r="P367" s="31">
        <f>IF(SUM(P$395:P431)=P$447,0,IF(SUM(P$395:P432)=P$447,'Phys Input'!$C$102,0))</f>
        <v>0</v>
      </c>
      <c r="Q367" s="31"/>
      <c r="R367" s="140"/>
      <c r="U367" s="176">
        <f>Resource!M47/100</f>
        <v>0</v>
      </c>
      <c r="V367" s="176"/>
    </row>
    <row r="368" spans="1:22">
      <c r="A368" s="141">
        <v>60</v>
      </c>
      <c r="B368" s="31"/>
      <c r="C368" s="31"/>
      <c r="D368" s="31"/>
      <c r="E368" s="31">
        <f>IF(SUM(E$395:E432)=E$447,0,IF(SUM(E$395:E433)=E$447,'Phys Input'!$C$102,0))</f>
        <v>0</v>
      </c>
      <c r="F368" s="31">
        <f>IF(SUM(F$395:F432)=F$447,0,IF(SUM(F$395:F433)=F$447,'Phys Input'!$C$102,0))</f>
        <v>0</v>
      </c>
      <c r="G368" s="31">
        <f>IF(SUM(G$395:G432)=G$447,0,IF(SUM(G$395:G433)=G$447,'Phys Input'!$C$102,0))</f>
        <v>0</v>
      </c>
      <c r="H368" s="31">
        <f>IF(SUM(H$395:H432)=H$447,0,IF(SUM(H$395:H433)=H$447,'Phys Input'!$C$102,0))</f>
        <v>0</v>
      </c>
      <c r="I368" s="31">
        <f>IF(SUM(I$395:I432)=I$447,0,IF(SUM(I$395:I433)=I$447,'Phys Input'!$C$102,0))</f>
        <v>0</v>
      </c>
      <c r="J368" s="31">
        <f>IF(SUM(J$395:J432)=J$447,0,IF(SUM(J$395:J433)=J$447,'Phys Input'!$C$102,0))</f>
        <v>0</v>
      </c>
      <c r="K368" s="31">
        <f>IF(SUM(K$395:K432)=K$447,0,IF(SUM(K$395:K433)=K$447,'Phys Input'!$C$102,0))</f>
        <v>0</v>
      </c>
      <c r="L368" s="31">
        <f>IF(SUM(L$395:L432)=L$447,0,IF(SUM(L$395:L433)=L$447,'Phys Input'!$C$102,0))</f>
        <v>0</v>
      </c>
      <c r="M368" s="31">
        <f>IF(SUM(M$395:M432)=M$447,0,IF(SUM(M$395:M433)=M$447,'Phys Input'!$C$102,0))</f>
        <v>0</v>
      </c>
      <c r="N368" s="31">
        <f>IF(SUM(N$395:N432)=N$447,0,IF(SUM(N$395:N433)=N$447,'Phys Input'!$C$102,0))</f>
        <v>0</v>
      </c>
      <c r="O368" s="31">
        <f>IF(SUM(O$395:O432)=O$447,0,IF(SUM(O$395:O433)=O$447,'Phys Input'!$C$102,0))</f>
        <v>0</v>
      </c>
      <c r="P368" s="31">
        <f>IF(SUM(P$395:P432)=P$447,0,IF(SUM(P$395:P433)=P$447,'Phys Input'!$C$102,0))</f>
        <v>0</v>
      </c>
      <c r="Q368" s="31"/>
      <c r="R368" s="140"/>
      <c r="U368" s="176">
        <f>Resource!M48/100</f>
        <v>0</v>
      </c>
      <c r="V368" s="176"/>
    </row>
    <row r="369" spans="1:22">
      <c r="A369" s="146">
        <v>55</v>
      </c>
      <c r="B369" s="31"/>
      <c r="C369" s="31"/>
      <c r="D369" s="31"/>
      <c r="E369" s="31">
        <f>IF(SUM(E$395:E433)=E$447,0,IF(SUM(E$395:E434)=E$447,'Phys Input'!$C$102,0))</f>
        <v>0</v>
      </c>
      <c r="F369" s="31">
        <f>IF(SUM(F$395:F433)=F$447,0,IF(SUM(F$395:F434)=F$447,'Phys Input'!$C$102,0))</f>
        <v>0</v>
      </c>
      <c r="G369" s="31">
        <f>IF(SUM(G$395:G433)=G$447,0,IF(SUM(G$395:G434)=G$447,'Phys Input'!$C$102,0))</f>
        <v>0</v>
      </c>
      <c r="H369" s="31">
        <f>IF(SUM(H$395:H433)=H$447,0,IF(SUM(H$395:H434)=H$447,'Phys Input'!$C$102,0))</f>
        <v>0</v>
      </c>
      <c r="I369" s="31">
        <f>IF(SUM(I$395:I433)=I$447,0,IF(SUM(I$395:I434)=I$447,'Phys Input'!$C$102,0))</f>
        <v>0</v>
      </c>
      <c r="J369" s="31">
        <f>IF(SUM(J$395:J433)=J$447,0,IF(SUM(J$395:J434)=J$447,'Phys Input'!$C$102,0))</f>
        <v>0</v>
      </c>
      <c r="K369" s="31">
        <f>IF(SUM(K$395:K433)=K$447,0,IF(SUM(K$395:K434)=K$447,'Phys Input'!$C$102,0))</f>
        <v>0</v>
      </c>
      <c r="L369" s="31">
        <f>IF(SUM(L$395:L433)=L$447,0,IF(SUM(L$395:L434)=L$447,'Phys Input'!$C$102,0))</f>
        <v>0</v>
      </c>
      <c r="M369" s="31">
        <f>IF(SUM(M$395:M433)=M$447,0,IF(SUM(M$395:M434)=M$447,'Phys Input'!$C$102,0))</f>
        <v>0</v>
      </c>
      <c r="N369" s="31">
        <f>IF(SUM(N$395:N433)=N$447,0,IF(SUM(N$395:N434)=N$447,'Phys Input'!$C$102,0))</f>
        <v>0</v>
      </c>
      <c r="O369" s="31">
        <f>IF(SUM(O$395:O433)=O$447,0,IF(SUM(O$395:O434)=O$447,'Phys Input'!$C$102,0))</f>
        <v>0</v>
      </c>
      <c r="P369" s="31">
        <f>IF(SUM(P$395:P433)=P$447,0,IF(SUM(P$395:P434)=P$447,'Phys Input'!$C$102,0))</f>
        <v>0</v>
      </c>
      <c r="Q369" s="31"/>
      <c r="R369" s="140"/>
      <c r="U369" s="176">
        <f>Resource!M49/100</f>
        <v>0</v>
      </c>
      <c r="V369" s="176"/>
    </row>
    <row r="370" spans="1:22">
      <c r="A370" s="146">
        <v>50</v>
      </c>
      <c r="B370" s="31"/>
      <c r="C370" s="31"/>
      <c r="D370" s="31"/>
      <c r="E370" s="31">
        <f>IF(SUM(E$395:E434)=E$447,0,IF(SUM(E$395:E435)=E$447,'Phys Input'!$C$102,0))</f>
        <v>0</v>
      </c>
      <c r="F370" s="31">
        <f>IF(SUM(F$395:F434)=F$447,0,IF(SUM(F$395:F435)=F$447,'Phys Input'!$C$102,0))</f>
        <v>0</v>
      </c>
      <c r="G370" s="31">
        <f>IF(SUM(G$395:G434)=G$447,0,IF(SUM(G$395:G435)=G$447,'Phys Input'!$C$102,0))</f>
        <v>0</v>
      </c>
      <c r="H370" s="31">
        <f>IF(SUM(H$395:H434)=H$447,0,IF(SUM(H$395:H435)=H$447,'Phys Input'!$C$102,0))</f>
        <v>0</v>
      </c>
      <c r="I370" s="31">
        <f>IF(SUM(I$395:I434)=I$447,0,IF(SUM(I$395:I435)=I$447,'Phys Input'!$C$102,0))</f>
        <v>0</v>
      </c>
      <c r="J370" s="31">
        <f>IF(SUM(J$395:J434)=J$447,0,IF(SUM(J$395:J435)=J$447,'Phys Input'!$C$102,0))</f>
        <v>0</v>
      </c>
      <c r="K370" s="31">
        <f>IF(SUM(K$395:K434)=K$447,0,IF(SUM(K$395:K435)=K$447,'Phys Input'!$C$102,0))</f>
        <v>0</v>
      </c>
      <c r="L370" s="31">
        <f>IF(SUM(L$395:L434)=L$447,0,IF(SUM(L$395:L435)=L$447,'Phys Input'!$C$102,0))</f>
        <v>0</v>
      </c>
      <c r="M370" s="31">
        <f>IF(SUM(M$395:M434)=M$447,0,IF(SUM(M$395:M435)=M$447,'Phys Input'!$C$102,0))</f>
        <v>0</v>
      </c>
      <c r="N370" s="31">
        <f>IF(SUM(N$395:N434)=N$447,0,IF(SUM(N$395:N435)=N$447,'Phys Input'!$C$102,0))</f>
        <v>0</v>
      </c>
      <c r="O370" s="31">
        <f>IF(SUM(O$395:O434)=O$447,0,IF(SUM(O$395:O435)=O$447,'Phys Input'!$C$102,0))</f>
        <v>0</v>
      </c>
      <c r="P370" s="31">
        <f>IF(SUM(P$395:P434)=P$447,0,IF(SUM(P$395:P435)=P$447,'Phys Input'!$C$102,0))</f>
        <v>0</v>
      </c>
      <c r="Q370" s="31"/>
      <c r="R370" s="140"/>
      <c r="U370" s="176">
        <f>Resource!M50/100</f>
        <v>0</v>
      </c>
      <c r="V370" s="176"/>
    </row>
    <row r="371" spans="1:22">
      <c r="A371" s="146">
        <v>45</v>
      </c>
      <c r="B371" s="31"/>
      <c r="C371" s="31"/>
      <c r="D371" s="31"/>
      <c r="E371" s="31">
        <f>IF(SUM(E$395:E435)=E$447,0,IF(SUM(E$395:E436)=E$447,'Phys Input'!$C$102,0))</f>
        <v>0</v>
      </c>
      <c r="F371" s="31">
        <f>IF(SUM(F$395:F435)=F$447,0,IF(SUM(F$395:F436)=F$447,'Phys Input'!$C$102,0))</f>
        <v>0</v>
      </c>
      <c r="G371" s="31">
        <f>IF(SUM(G$395:G435)=G$447,0,IF(SUM(G$395:G436)=G$447,'Phys Input'!$C$102,0))</f>
        <v>0</v>
      </c>
      <c r="H371" s="31">
        <f>IF(SUM(H$395:H435)=H$447,0,IF(SUM(H$395:H436)=H$447,'Phys Input'!$C$102,0))</f>
        <v>0</v>
      </c>
      <c r="I371" s="31">
        <f>IF(SUM(I$395:I435)=I$447,0,IF(SUM(I$395:I436)=I$447,'Phys Input'!$C$102,0))</f>
        <v>0</v>
      </c>
      <c r="J371" s="31">
        <f>IF(SUM(J$395:J435)=J$447,0,IF(SUM(J$395:J436)=J$447,'Phys Input'!$C$102,0))</f>
        <v>0</v>
      </c>
      <c r="K371" s="31">
        <f>IF(SUM(K$395:K435)=K$447,0,IF(SUM(K$395:K436)=K$447,'Phys Input'!$C$102,0))</f>
        <v>0</v>
      </c>
      <c r="L371" s="31">
        <f>IF(SUM(L$395:L435)=L$447,0,IF(SUM(L$395:L436)=L$447,'Phys Input'!$C$102,0))</f>
        <v>0</v>
      </c>
      <c r="M371" s="31">
        <f>IF(SUM(M$395:M435)=M$447,0,IF(SUM(M$395:M436)=M$447,'Phys Input'!$C$102,0))</f>
        <v>0</v>
      </c>
      <c r="N371" s="31">
        <f>IF(SUM(N$395:N435)=N$447,0,IF(SUM(N$395:N436)=N$447,'Phys Input'!$C$102,0))</f>
        <v>0</v>
      </c>
      <c r="O371" s="31">
        <f>IF(SUM(O$395:O435)=O$447,0,IF(SUM(O$395:O436)=O$447,'Phys Input'!$C$102,0))</f>
        <v>0</v>
      </c>
      <c r="P371" s="31">
        <f>IF(SUM(P$395:P435)=P$447,0,IF(SUM(P$395:P436)=P$447,'Phys Input'!$C$102,0))</f>
        <v>0</v>
      </c>
      <c r="Q371" s="31"/>
      <c r="R371" s="140"/>
      <c r="U371" s="176">
        <f>Resource!M51/100</f>
        <v>0</v>
      </c>
      <c r="V371" s="176"/>
    </row>
    <row r="372" spans="1:22">
      <c r="A372" s="146">
        <v>40</v>
      </c>
      <c r="B372" s="31"/>
      <c r="C372" s="31"/>
      <c r="D372" s="31"/>
      <c r="E372" s="31">
        <f>IF(SUM(E$395:E436)=E$447,0,IF(SUM(E$395:E437)=E$447,'Phys Input'!$C$102,0))</f>
        <v>0</v>
      </c>
      <c r="F372" s="31">
        <f>IF(SUM(F$395:F436)=F$447,0,IF(SUM(F$395:F437)=F$447,'Phys Input'!$C$102,0))</f>
        <v>0</v>
      </c>
      <c r="G372" s="31">
        <f>IF(SUM(G$395:G436)=G$447,0,IF(SUM(G$395:G437)=G$447,'Phys Input'!$C$102,0))</f>
        <v>0</v>
      </c>
      <c r="H372" s="31">
        <f>IF(SUM(H$395:H436)=H$447,0,IF(SUM(H$395:H437)=H$447,'Phys Input'!$C$102,0))</f>
        <v>0</v>
      </c>
      <c r="I372" s="31">
        <f>IF(SUM(I$395:I436)=I$447,0,IF(SUM(I$395:I437)=I$447,'Phys Input'!$C$102,0))</f>
        <v>0</v>
      </c>
      <c r="J372" s="31">
        <f>IF(SUM(J$395:J436)=J$447,0,IF(SUM(J$395:J437)=J$447,'Phys Input'!$C$102,0))</f>
        <v>0</v>
      </c>
      <c r="K372" s="31">
        <f>IF(SUM(K$395:K436)=K$447,0,IF(SUM(K$395:K437)=K$447,'Phys Input'!$C$102,0))</f>
        <v>0</v>
      </c>
      <c r="L372" s="31">
        <f>IF(SUM(L$395:L436)=L$447,0,IF(SUM(L$395:L437)=L$447,'Phys Input'!$C$102,0))</f>
        <v>0</v>
      </c>
      <c r="M372" s="31">
        <f>IF(SUM(M$395:M436)=M$447,0,IF(SUM(M$395:M437)=M$447,'Phys Input'!$C$102,0))</f>
        <v>0</v>
      </c>
      <c r="N372" s="31">
        <f>IF(SUM(N$395:N436)=N$447,0,IF(SUM(N$395:N437)=N$447,'Phys Input'!$C$102,0))</f>
        <v>0</v>
      </c>
      <c r="O372" s="31">
        <f>IF(SUM(O$395:O436)=O$447,0,IF(SUM(O$395:O437)=O$447,'Phys Input'!$C$102,0))</f>
        <v>0</v>
      </c>
      <c r="P372" s="31">
        <f>IF(SUM(P$395:P436)=P$447,0,IF(SUM(P$395:P437)=P$447,'Phys Input'!$C$102,0))</f>
        <v>0</v>
      </c>
      <c r="Q372" s="31"/>
      <c r="R372" s="140"/>
      <c r="U372" s="176">
        <f>Resource!M52/100</f>
        <v>0</v>
      </c>
      <c r="V372" s="176"/>
    </row>
    <row r="373" spans="1:22">
      <c r="A373" s="146">
        <v>35</v>
      </c>
      <c r="B373" s="31"/>
      <c r="C373" s="31"/>
      <c r="D373" s="31"/>
      <c r="E373" s="31">
        <f>IF(SUM(E$395:E437)=E$447,0,IF(SUM(E$395:E438)=E$447,'Phys Input'!$C$102,0))</f>
        <v>0</v>
      </c>
      <c r="F373" s="31">
        <f>IF(SUM(F$395:F437)=F$447,0,IF(SUM(F$395:F438)=F$447,'Phys Input'!$C$102,0))</f>
        <v>0</v>
      </c>
      <c r="G373" s="31">
        <f>IF(SUM(G$395:G437)=G$447,0,IF(SUM(G$395:G438)=G$447,'Phys Input'!$C$102,0))</f>
        <v>0</v>
      </c>
      <c r="H373" s="31">
        <f>IF(SUM(H$395:H437)=H$447,0,IF(SUM(H$395:H438)=H$447,'Phys Input'!$C$102,0))</f>
        <v>0</v>
      </c>
      <c r="I373" s="31">
        <f>IF(SUM(I$395:I437)=I$447,0,IF(SUM(I$395:I438)=I$447,'Phys Input'!$C$102,0))</f>
        <v>0</v>
      </c>
      <c r="J373" s="31">
        <f>IF(SUM(J$395:J437)=J$447,0,IF(SUM(J$395:J438)=J$447,'Phys Input'!$C$102,0))</f>
        <v>0</v>
      </c>
      <c r="K373" s="31">
        <f>IF(SUM(K$395:K437)=K$447,0,IF(SUM(K$395:K438)=K$447,'Phys Input'!$C$102,0))</f>
        <v>0</v>
      </c>
      <c r="L373" s="31">
        <f>IF(SUM(L$395:L437)=L$447,0,IF(SUM(L$395:L438)=L$447,'Phys Input'!$C$102,0))</f>
        <v>0</v>
      </c>
      <c r="M373" s="31">
        <f>IF(SUM(M$395:M437)=M$447,0,IF(SUM(M$395:M438)=M$447,'Phys Input'!$C$102,0))</f>
        <v>0</v>
      </c>
      <c r="N373" s="31">
        <f>IF(SUM(N$395:N437)=N$447,0,IF(SUM(N$395:N438)=N$447,'Phys Input'!$C$102,0))</f>
        <v>0</v>
      </c>
      <c r="O373" s="31">
        <f>IF(SUM(O$395:O437)=O$447,0,IF(SUM(O$395:O438)=O$447,'Phys Input'!$C$102,0))</f>
        <v>0</v>
      </c>
      <c r="P373" s="31">
        <f>IF(SUM(P$395:P437)=P$447,0,IF(SUM(P$395:P438)=P$447,'Phys Input'!$C$102,0))</f>
        <v>0</v>
      </c>
      <c r="Q373" s="31"/>
      <c r="R373" s="140"/>
      <c r="U373" s="176">
        <f>Resource!M53/100</f>
        <v>0</v>
      </c>
      <c r="V373" s="176"/>
    </row>
    <row r="374" spans="1:22">
      <c r="A374" s="146">
        <v>30</v>
      </c>
      <c r="B374" s="31"/>
      <c r="C374" s="31"/>
      <c r="D374" s="31"/>
      <c r="E374" s="31">
        <f>IF(SUM(E$395:E438)=E$447,0,IF(SUM(E$395:E439)=E$447,'Phys Input'!$C$102,0))</f>
        <v>0</v>
      </c>
      <c r="F374" s="31">
        <f>IF(SUM(F$395:F438)=F$447,0,IF(SUM(F$395:F439)=F$447,'Phys Input'!$C$102,0))</f>
        <v>0</v>
      </c>
      <c r="G374" s="31">
        <f>IF(SUM(G$395:G438)=G$447,0,IF(SUM(G$395:G439)=G$447,'Phys Input'!$C$102,0))</f>
        <v>0</v>
      </c>
      <c r="H374" s="31">
        <f>IF(SUM(H$395:H438)=H$447,0,IF(SUM(H$395:H439)=H$447,'Phys Input'!$C$102,0))</f>
        <v>0</v>
      </c>
      <c r="I374" s="31">
        <f>IF(SUM(I$395:I438)=I$447,0,IF(SUM(I$395:I439)=I$447,'Phys Input'!$C$102,0))</f>
        <v>0</v>
      </c>
      <c r="J374" s="31">
        <f>IF(SUM(J$395:J438)=J$447,0,IF(SUM(J$395:J439)=J$447,'Phys Input'!$C$102,0))</f>
        <v>0</v>
      </c>
      <c r="K374" s="31">
        <f>IF(SUM(K$395:K438)=K$447,0,IF(SUM(K$395:K439)=K$447,'Phys Input'!$C$102,0))</f>
        <v>0</v>
      </c>
      <c r="L374" s="31">
        <f>IF(SUM(L$395:L438)=L$447,0,IF(SUM(L$395:L439)=L$447,'Phys Input'!$C$102,0))</f>
        <v>0</v>
      </c>
      <c r="M374" s="31">
        <f>IF(SUM(M$395:M438)=M$447,0,IF(SUM(M$395:M439)=M$447,'Phys Input'!$C$102,0))</f>
        <v>0</v>
      </c>
      <c r="N374" s="31">
        <f>IF(SUM(N$395:N438)=N$447,0,IF(SUM(N$395:N439)=N$447,'Phys Input'!$C$102,0))</f>
        <v>0</v>
      </c>
      <c r="O374" s="31">
        <f>IF(SUM(O$395:O438)=O$447,0,IF(SUM(O$395:O439)=O$447,'Phys Input'!$C$102,0))</f>
        <v>0</v>
      </c>
      <c r="P374" s="31">
        <f>IF(SUM(P$395:P438)=P$447,0,IF(SUM(P$395:P439)=P$447,'Phys Input'!$C$102,0))</f>
        <v>0</v>
      </c>
      <c r="Q374" s="31"/>
      <c r="R374" s="140"/>
      <c r="U374" s="176">
        <f>Resource!M54/100</f>
        <v>0</v>
      </c>
      <c r="V374" s="176"/>
    </row>
    <row r="375" spans="1:22">
      <c r="A375" s="146">
        <v>25</v>
      </c>
      <c r="B375" s="31"/>
      <c r="C375" s="31"/>
      <c r="D375" s="31"/>
      <c r="E375" s="31">
        <f>IF(SUM(E$395:E439)=E$447,0,IF(SUM(E$395:E440)=E$447,'Phys Input'!$C$102,0))</f>
        <v>0</v>
      </c>
      <c r="F375" s="31">
        <f>IF(SUM(F$395:F439)=F$447,0,IF(SUM(F$395:F440)=F$447,'Phys Input'!$C$102,0))</f>
        <v>0</v>
      </c>
      <c r="G375" s="31">
        <f>IF(SUM(G$395:G439)=G$447,0,IF(SUM(G$395:G440)=G$447,'Phys Input'!$C$102,0))</f>
        <v>0</v>
      </c>
      <c r="H375" s="31">
        <f>IF(SUM(H$395:H439)=H$447,0,IF(SUM(H$395:H440)=H$447,'Phys Input'!$C$102,0))</f>
        <v>0</v>
      </c>
      <c r="I375" s="31">
        <f>IF(SUM(I$395:I439)=I$447,0,IF(SUM(I$395:I440)=I$447,'Phys Input'!$C$102,0))</f>
        <v>0</v>
      </c>
      <c r="J375" s="31">
        <f>IF(SUM(J$395:J439)=J$447,0,IF(SUM(J$395:J440)=J$447,'Phys Input'!$C$102,0))</f>
        <v>0</v>
      </c>
      <c r="K375" s="31">
        <f>IF(SUM(K$395:K439)=K$447,0,IF(SUM(K$395:K440)=K$447,'Phys Input'!$C$102,0))</f>
        <v>0</v>
      </c>
      <c r="L375" s="31">
        <f>IF(SUM(L$395:L439)=L$447,0,IF(SUM(L$395:L440)=L$447,'Phys Input'!$C$102,0))</f>
        <v>0</v>
      </c>
      <c r="M375" s="31">
        <f>IF(SUM(M$395:M439)=M$447,0,IF(SUM(M$395:M440)=M$447,'Phys Input'!$C$102,0))</f>
        <v>0</v>
      </c>
      <c r="N375" s="31">
        <f>IF(SUM(N$395:N439)=N$447,0,IF(SUM(N$395:N440)=N$447,'Phys Input'!$C$102,0))</f>
        <v>0</v>
      </c>
      <c r="O375" s="31">
        <f>IF(SUM(O$395:O439)=O$447,0,IF(SUM(O$395:O440)=O$447,'Phys Input'!$C$102,0))</f>
        <v>0</v>
      </c>
      <c r="P375" s="31">
        <f>IF(SUM(P$395:P439)=P$447,0,IF(SUM(P$395:P440)=P$447,'Phys Input'!$C$102,0))</f>
        <v>0</v>
      </c>
      <c r="Q375" s="31"/>
      <c r="R375" s="140"/>
      <c r="U375" s="176">
        <f>Resource!M55/100</f>
        <v>0</v>
      </c>
      <c r="V375" s="176"/>
    </row>
    <row r="376" spans="1:22">
      <c r="A376" s="146">
        <v>20</v>
      </c>
      <c r="B376" s="31"/>
      <c r="C376" s="31"/>
      <c r="D376" s="31"/>
      <c r="E376" s="31">
        <f>IF(SUM(E$395:E440)=E$447,0,IF(SUM(E$395:E441)=E$447,'Phys Input'!$C$102,0))</f>
        <v>0</v>
      </c>
      <c r="F376" s="31">
        <f>IF(SUM(F$395:F440)=F$447,0,IF(SUM(F$395:F441)=F$447,'Phys Input'!$C$102,0))</f>
        <v>0</v>
      </c>
      <c r="G376" s="31">
        <f>IF(SUM(G$395:G440)=G$447,0,IF(SUM(G$395:G441)=G$447,'Phys Input'!$C$102,0))</f>
        <v>0</v>
      </c>
      <c r="H376" s="31">
        <f>IF(SUM(H$395:H440)=H$447,0,IF(SUM(H$395:H441)=H$447,'Phys Input'!$C$102,0))</f>
        <v>0</v>
      </c>
      <c r="I376" s="31">
        <f>IF(SUM(I$395:I440)=I$447,0,IF(SUM(I$395:I441)=I$447,'Phys Input'!$C$102,0))</f>
        <v>0</v>
      </c>
      <c r="J376" s="31">
        <f>IF(SUM(J$395:J440)=J$447,0,IF(SUM(J$395:J441)=J$447,'Phys Input'!$C$102,0))</f>
        <v>0</v>
      </c>
      <c r="K376" s="31">
        <f>IF(SUM(K$395:K440)=K$447,0,IF(SUM(K$395:K441)=K$447,'Phys Input'!$C$102,0))</f>
        <v>0</v>
      </c>
      <c r="L376" s="31">
        <f>IF(SUM(L$395:L440)=L$447,0,IF(SUM(L$395:L441)=L$447,'Phys Input'!$C$102,0))</f>
        <v>0</v>
      </c>
      <c r="M376" s="31">
        <f>IF(SUM(M$395:M440)=M$447,0,IF(SUM(M$395:M441)=M$447,'Phys Input'!$C$102,0))</f>
        <v>0</v>
      </c>
      <c r="N376" s="31">
        <f>IF(SUM(N$395:N440)=N$447,0,IF(SUM(N$395:N441)=N$447,'Phys Input'!$C$102,0))</f>
        <v>0</v>
      </c>
      <c r="O376" s="31">
        <f>IF(SUM(O$395:O440)=O$447,0,IF(SUM(O$395:O441)=O$447,'Phys Input'!$C$102,0))</f>
        <v>0</v>
      </c>
      <c r="P376" s="31">
        <f>IF(SUM(P$395:P440)=P$447,0,IF(SUM(P$395:P441)=P$447,'Phys Input'!$C$102,0))</f>
        <v>0</v>
      </c>
      <c r="Q376" s="31"/>
      <c r="R376" s="140"/>
      <c r="U376" s="176">
        <f>Resource!M56/100</f>
        <v>0</v>
      </c>
      <c r="V376" s="176"/>
    </row>
    <row r="377" spans="1:22">
      <c r="A377" s="146">
        <v>15</v>
      </c>
      <c r="B377" s="31"/>
      <c r="C377" s="31"/>
      <c r="D377" s="31"/>
      <c r="E377" s="31">
        <f>IF(SUM(E$395:E441)=E$447,0,IF(SUM(E$395:E442)=E$447,'Phys Input'!$C$102,0))</f>
        <v>0</v>
      </c>
      <c r="F377" s="31">
        <f>IF(SUM(F$395:F441)=F$447,0,IF(SUM(F$395:F442)=F$447,'Phys Input'!$C$102,0))</f>
        <v>0</v>
      </c>
      <c r="G377" s="31">
        <f>IF(SUM(G$395:G441)=G$447,0,IF(SUM(G$395:G442)=G$447,'Phys Input'!$C$102,0))</f>
        <v>0</v>
      </c>
      <c r="H377" s="31">
        <f>IF(SUM(H$395:H441)=H$447,0,IF(SUM(H$395:H442)=H$447,'Phys Input'!$C$102,0))</f>
        <v>0</v>
      </c>
      <c r="I377" s="31">
        <f>IF(SUM(I$395:I441)=I$447,0,IF(SUM(I$395:I442)=I$447,'Phys Input'!$C$102,0))</f>
        <v>0</v>
      </c>
      <c r="J377" s="31">
        <f>IF(SUM(J$395:J441)=J$447,0,IF(SUM(J$395:J442)=J$447,'Phys Input'!$C$102,0))</f>
        <v>0</v>
      </c>
      <c r="K377" s="31">
        <f>IF(SUM(K$395:K441)=K$447,0,IF(SUM(K$395:K442)=K$447,'Phys Input'!$C$102,0))</f>
        <v>0</v>
      </c>
      <c r="L377" s="31">
        <f>IF(SUM(L$395:L441)=L$447,0,IF(SUM(L$395:L442)=L$447,'Phys Input'!$C$102,0))</f>
        <v>0</v>
      </c>
      <c r="M377" s="31">
        <f>IF(SUM(M$395:M441)=M$447,0,IF(SUM(M$395:M442)=M$447,'Phys Input'!$C$102,0))</f>
        <v>0</v>
      </c>
      <c r="N377" s="31">
        <f>IF(SUM(N$395:N441)=N$447,0,IF(SUM(N$395:N442)=N$447,'Phys Input'!$C$102,0))</f>
        <v>0</v>
      </c>
      <c r="O377" s="31">
        <f>IF(SUM(O$395:O441)=O$447,0,IF(SUM(O$395:O442)=O$447,'Phys Input'!$C$102,0))</f>
        <v>0</v>
      </c>
      <c r="P377" s="31">
        <f>IF(SUM(P$395:P441)=P$447,0,IF(SUM(P$395:P442)=P$447,'Phys Input'!$C$102,0))</f>
        <v>0</v>
      </c>
      <c r="Q377" s="31"/>
      <c r="R377" s="140"/>
      <c r="U377" s="176">
        <f>Resource!M57/100</f>
        <v>0</v>
      </c>
      <c r="V377" s="176"/>
    </row>
    <row r="378" spans="1:22">
      <c r="A378" s="146">
        <v>10</v>
      </c>
      <c r="B378" s="31"/>
      <c r="C378" s="31"/>
      <c r="D378" s="31"/>
      <c r="E378" s="31">
        <f>IF(SUM(E$395:E442)=E$447,0,IF(SUM(E$395:E443)=E$447,'Phys Input'!$C$102,0))</f>
        <v>0</v>
      </c>
      <c r="F378" s="31">
        <f>IF(SUM(F$395:F442)=F$447,0,IF(SUM(F$395:F443)=F$447,'Phys Input'!$C$102,0))</f>
        <v>0</v>
      </c>
      <c r="G378" s="31">
        <f>IF(SUM(G$395:G442)=G$447,0,IF(SUM(G$395:G443)=G$447,'Phys Input'!$C$102,0))</f>
        <v>0</v>
      </c>
      <c r="H378" s="31">
        <f>IF(SUM(H$395:H442)=H$447,0,IF(SUM(H$395:H443)=H$447,'Phys Input'!$C$102,0))</f>
        <v>0</v>
      </c>
      <c r="I378" s="31">
        <f>IF(SUM(I$395:I442)=I$447,0,IF(SUM(I$395:I443)=I$447,'Phys Input'!$C$102,0))</f>
        <v>0</v>
      </c>
      <c r="J378" s="31">
        <f>IF(SUM(J$395:J442)=J$447,0,IF(SUM(J$395:J443)=J$447,'Phys Input'!$C$102,0))</f>
        <v>0</v>
      </c>
      <c r="K378" s="31">
        <f>IF(SUM(K$395:K442)=K$447,0,IF(SUM(K$395:K443)=K$447,'Phys Input'!$C$102,0))</f>
        <v>0</v>
      </c>
      <c r="L378" s="31">
        <f>IF(SUM(L$395:L442)=L$447,0,IF(SUM(L$395:L443)=L$447,'Phys Input'!$C$102,0))</f>
        <v>0</v>
      </c>
      <c r="M378" s="31">
        <f>IF(SUM(M$395:M442)=M$447,0,IF(SUM(M$395:M443)=M$447,'Phys Input'!$C$102,0))</f>
        <v>0</v>
      </c>
      <c r="N378" s="31">
        <f>IF(SUM(N$395:N442)=N$447,0,IF(SUM(N$395:N443)=N$447,'Phys Input'!$C$102,0))</f>
        <v>0</v>
      </c>
      <c r="O378" s="31">
        <f>IF(SUM(O$395:O442)=O$447,0,IF(SUM(O$395:O443)=O$447,'Phys Input'!$C$102,0))</f>
        <v>0</v>
      </c>
      <c r="P378" s="31">
        <f>IF(SUM(P$395:P442)=P$447,0,IF(SUM(P$395:P443)=P$447,'Phys Input'!$C$102,0))</f>
        <v>0</v>
      </c>
      <c r="Q378" s="31"/>
      <c r="R378" s="140"/>
      <c r="U378" s="176">
        <f>Resource!M58/100</f>
        <v>0</v>
      </c>
      <c r="V378" s="176"/>
    </row>
    <row r="379" spans="1:22">
      <c r="A379" s="146">
        <v>5</v>
      </c>
      <c r="B379" s="31"/>
      <c r="C379" s="31"/>
      <c r="D379" s="31"/>
      <c r="E379" s="31">
        <f>IF(SUM(E$395:E443)=E$447,0,IF(SUM(E$395:E444)=E$447,'Phys Input'!$C$102,0))</f>
        <v>0</v>
      </c>
      <c r="F379" s="31">
        <f>IF(SUM(F$395:F443)=F$447,0,IF(SUM(F$395:F444)=F$447,'Phys Input'!$C$102,0))</f>
        <v>0</v>
      </c>
      <c r="G379" s="31">
        <f>IF(SUM(G$395:G443)=G$447,0,IF(SUM(G$395:G444)=G$447,'Phys Input'!$C$102,0))</f>
        <v>0</v>
      </c>
      <c r="H379" s="31">
        <f>IF(SUM(H$395:H443)=H$447,0,IF(SUM(H$395:H444)=H$447,'Phys Input'!$C$102,0))</f>
        <v>0</v>
      </c>
      <c r="I379" s="31">
        <f>IF(SUM(I$395:I443)=I$447,0,IF(SUM(I$395:I444)=I$447,'Phys Input'!$C$102,0))</f>
        <v>0</v>
      </c>
      <c r="J379" s="31">
        <f>IF(SUM(J$395:J443)=J$447,0,IF(SUM(J$395:J444)=J$447,'Phys Input'!$C$102,0))</f>
        <v>0</v>
      </c>
      <c r="K379" s="31">
        <f>IF(SUM(K$395:K443)=K$447,0,IF(SUM(K$395:K444)=K$447,'Phys Input'!$C$102,0))</f>
        <v>0</v>
      </c>
      <c r="L379" s="31">
        <f>IF(SUM(L$395:L443)=L$447,0,IF(SUM(L$395:L444)=L$447,'Phys Input'!$C$102,0))</f>
        <v>0</v>
      </c>
      <c r="M379" s="31">
        <f>IF(SUM(M$395:M443)=M$447,0,IF(SUM(M$395:M444)=M$447,'Phys Input'!$C$102,0))</f>
        <v>0</v>
      </c>
      <c r="N379" s="31">
        <f>IF(SUM(N$395:N443)=N$447,0,IF(SUM(N$395:N444)=N$447,'Phys Input'!$C$102,0))</f>
        <v>0</v>
      </c>
      <c r="O379" s="31">
        <f>IF(SUM(O$395:O443)=O$447,0,IF(SUM(O$395:O444)=O$447,'Phys Input'!$C$102,0))</f>
        <v>0</v>
      </c>
      <c r="P379" s="31">
        <f>IF(SUM(P$395:P443)=P$447,0,IF(SUM(P$395:P444)=P$447,'Phys Input'!$C$102,0))</f>
        <v>0</v>
      </c>
      <c r="Q379" s="31"/>
      <c r="R379" s="140"/>
      <c r="U379" s="176">
        <f>Resource!M59/100</f>
        <v>0</v>
      </c>
      <c r="V379" s="176"/>
    </row>
    <row r="380" spans="1:22">
      <c r="A380" s="146">
        <v>0</v>
      </c>
      <c r="B380" s="31"/>
      <c r="C380" s="31"/>
      <c r="D380" s="31"/>
      <c r="E380" s="31">
        <f>IF(SUM(E$395:E444)=E$447,0,IF(SUM(E$395:E445)=E$447,'Phys Input'!$C$102,0))</f>
        <v>0</v>
      </c>
      <c r="F380" s="31">
        <f>IF(SUM(F$395:F444)=F$447,0,IF(SUM(F$395:F445)=F$447,'Phys Input'!$C$102,0))</f>
        <v>0</v>
      </c>
      <c r="G380" s="31">
        <f>IF(SUM(G$395:G444)=G$447,0,IF(SUM(G$395:G445)=G$447,'Phys Input'!$C$102,0))</f>
        <v>0</v>
      </c>
      <c r="H380" s="31">
        <f>IF(SUM(H$395:H444)=H$447,0,IF(SUM(H$395:H445)=H$447,'Phys Input'!$C$102,0))</f>
        <v>0</v>
      </c>
      <c r="I380" s="31">
        <f>IF(SUM(I$395:I444)=I$447,0,IF(SUM(I$395:I445)=I$447,'Phys Input'!$C$102,0))</f>
        <v>0</v>
      </c>
      <c r="J380" s="31">
        <f>IF(SUM(J$395:J444)=J$447,0,IF(SUM(J$395:J445)=J$447,'Phys Input'!$C$102,0))</f>
        <v>0</v>
      </c>
      <c r="K380" s="31">
        <f>IF(SUM(K$395:K444)=K$447,0,IF(SUM(K$395:K445)=K$447,'Phys Input'!$C$102,0))</f>
        <v>0</v>
      </c>
      <c r="L380" s="31">
        <f>IF(SUM(L$395:L444)=L$447,0,IF(SUM(L$395:L445)=L$447,'Phys Input'!$C$102,0))</f>
        <v>0</v>
      </c>
      <c r="M380" s="31">
        <f>IF(SUM(M$395:M444)=M$447,0,IF(SUM(M$395:M445)=M$447,'Phys Input'!$C$102,0))</f>
        <v>0</v>
      </c>
      <c r="N380" s="31">
        <f>IF(SUM(N$395:N444)=N$447,0,IF(SUM(N$395:N445)=N$447,'Phys Input'!$C$102,0))</f>
        <v>0</v>
      </c>
      <c r="O380" s="31">
        <f>IF(SUM(O$395:O444)=O$447,0,IF(SUM(O$395:O445)=O$447,'Phys Input'!$C$102,0))</f>
        <v>0</v>
      </c>
      <c r="P380" s="31">
        <f>IF(SUM(P$395:P444)=P$447,0,IF(SUM(P$395:P445)=P$447,'Phys Input'!$C$102,0))</f>
        <v>0</v>
      </c>
      <c r="Q380" s="31"/>
      <c r="R380" s="140"/>
      <c r="U380" s="176">
        <f>Resource!M60/100</f>
        <v>0</v>
      </c>
      <c r="V380" s="176"/>
    </row>
    <row r="381" spans="1:22">
      <c r="A381" s="39" t="s">
        <v>5</v>
      </c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140"/>
    </row>
    <row r="382" spans="1:22">
      <c r="A382" s="5" t="s">
        <v>188</v>
      </c>
      <c r="B382" s="91">
        <f>SUM(B330:B380)</f>
        <v>0</v>
      </c>
      <c r="C382" s="91">
        <f t="shared" ref="C382:Q382" si="34">SUM(C330:C380)</f>
        <v>0</v>
      </c>
      <c r="D382" s="91">
        <f t="shared" si="34"/>
        <v>0</v>
      </c>
      <c r="E382" s="91">
        <f t="shared" si="34"/>
        <v>4000</v>
      </c>
      <c r="F382" s="91">
        <f t="shared" si="34"/>
        <v>4000</v>
      </c>
      <c r="G382" s="91">
        <f t="shared" si="34"/>
        <v>4000</v>
      </c>
      <c r="H382" s="91">
        <f t="shared" si="34"/>
        <v>4000</v>
      </c>
      <c r="I382" s="91">
        <f t="shared" si="34"/>
        <v>4000</v>
      </c>
      <c r="J382" s="91">
        <f t="shared" si="34"/>
        <v>4000</v>
      </c>
      <c r="K382" s="91">
        <f t="shared" si="34"/>
        <v>4000</v>
      </c>
      <c r="L382" s="91">
        <f t="shared" si="34"/>
        <v>4000</v>
      </c>
      <c r="M382" s="91">
        <f t="shared" si="34"/>
        <v>4000</v>
      </c>
      <c r="N382" s="91">
        <f t="shared" si="34"/>
        <v>4000</v>
      </c>
      <c r="O382" s="91">
        <f t="shared" si="34"/>
        <v>4000</v>
      </c>
      <c r="P382" s="91">
        <f t="shared" si="34"/>
        <v>4000</v>
      </c>
      <c r="Q382" s="91">
        <f t="shared" si="34"/>
        <v>0</v>
      </c>
      <c r="R382" s="151"/>
    </row>
    <row r="383" spans="1:22">
      <c r="A383" s="5" t="s">
        <v>246</v>
      </c>
      <c r="B383" s="177">
        <f>IF(B382=0,0,SUMPRODUCT(B330:B380,$U330:$U380)/B382)</f>
        <v>0</v>
      </c>
      <c r="C383" s="177">
        <f t="shared" ref="C383" si="35">IF(C382=0,0,SUMPRODUCT(C330:C380,$U330:$U380)/C382)</f>
        <v>0</v>
      </c>
      <c r="D383" s="177">
        <f t="shared" ref="D383" si="36">IF(D382=0,0,SUMPRODUCT(D330:D380,$U330:$U380)/D382)</f>
        <v>0</v>
      </c>
      <c r="E383" s="177">
        <f t="shared" ref="E383" si="37">IF(E382=0,0,SUMPRODUCT(E330:E380,$U330:$U380)/E382)</f>
        <v>0.35614302804732156</v>
      </c>
      <c r="F383" s="177">
        <f t="shared" ref="F383" si="38">IF(F382=0,0,SUMPRODUCT(F330:F380,$U330:$U380)/F382)</f>
        <v>0.42033917114617642</v>
      </c>
      <c r="G383" s="177">
        <f t="shared" ref="G383" si="39">IF(G382=0,0,SUMPRODUCT(G330:G380,$U330:$U380)/G382)</f>
        <v>0.4067690601607985</v>
      </c>
      <c r="H383" s="177">
        <f t="shared" ref="H383" si="40">IF(H382=0,0,SUMPRODUCT(H330:H380,$U330:$U380)/H382)</f>
        <v>0.4067690601607985</v>
      </c>
      <c r="I383" s="177">
        <f t="shared" ref="I383" si="41">IF(I382=0,0,SUMPRODUCT(I330:I380,$U330:$U380)/I382)</f>
        <v>0.40257278970488153</v>
      </c>
      <c r="J383" s="177">
        <f t="shared" ref="J383" si="42">IF(J382=0,0,SUMPRODUCT(J330:J380,$U330:$U380)/J382)</f>
        <v>0.39758226176409261</v>
      </c>
      <c r="K383" s="177">
        <f t="shared" ref="K383" si="43">IF(K382=0,0,SUMPRODUCT(K330:K380,$U330:$U380)/K382)</f>
        <v>0.4018393700787401</v>
      </c>
      <c r="L383" s="177">
        <f t="shared" ref="L383" si="44">IF(L382=0,0,SUMPRODUCT(L330:L380,$U330:$U380)/L382)</f>
        <v>0.39597409139978401</v>
      </c>
      <c r="M383" s="177">
        <f t="shared" ref="M383" si="45">IF(M382=0,0,SUMPRODUCT(M330:M380,$U330:$U380)/M382)</f>
        <v>0.38870627336933944</v>
      </c>
      <c r="N383" s="177">
        <f t="shared" ref="N383" si="46">IF(N382=0,0,SUMPRODUCT(N330:N380,$U330:$U380)/N382)</f>
        <v>0.38480255860086637</v>
      </c>
      <c r="O383" s="177">
        <f t="shared" ref="O383" si="47">IF(O382=0,0,SUMPRODUCT(O330:O380,$U330:$U380)/O382)</f>
        <v>0.38976782077393074</v>
      </c>
      <c r="P383" s="177">
        <f t="shared" ref="P383" si="48">IF(P382=0,0,SUMPRODUCT(P330:P380,$U330:$U380)/P382)</f>
        <v>0.40676906016079839</v>
      </c>
      <c r="Q383" s="177">
        <f t="shared" ref="Q383" si="49">IF(Q382=0,0,SUMPRODUCT(Q330:Q380,$U330:$U380)/Q382)</f>
        <v>0</v>
      </c>
      <c r="R383" s="179"/>
    </row>
    <row r="384" spans="1:22">
      <c r="A384" s="8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5"/>
    </row>
    <row r="387" spans="1:21">
      <c r="A387" s="13" t="s">
        <v>0</v>
      </c>
      <c r="B387" s="77"/>
      <c r="C387" s="77"/>
      <c r="D387" s="77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5"/>
    </row>
    <row r="388" spans="1:21">
      <c r="A388" s="16" t="str">
        <f>Title!$F$10</f>
        <v>ARTHUR RIVER MAGNESITE PROJECT</v>
      </c>
      <c r="B388" s="78"/>
      <c r="C388" s="78"/>
      <c r="D388" s="78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</row>
    <row r="389" spans="1:21">
      <c r="A389" s="16" t="str">
        <f>Title!$F$12</f>
        <v>ORDER OF MAGNITUDE COST STUDY: CALCINE PRODUCTION ONLY</v>
      </c>
      <c r="B389" s="78"/>
      <c r="C389" s="78"/>
      <c r="D389" s="78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</row>
    <row r="390" spans="1:21">
      <c r="A390" s="19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 t="str">
        <f>Title!$F$19</f>
        <v>3 October 2011</v>
      </c>
      <c r="S390" s="18"/>
    </row>
    <row r="391" spans="1:21">
      <c r="A391" s="20" t="s">
        <v>281</v>
      </c>
      <c r="B391" s="79"/>
      <c r="C391" s="79"/>
      <c r="D391" s="79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</row>
    <row r="392" spans="1:21">
      <c r="A392" s="46"/>
      <c r="B392" s="41" t="s">
        <v>26</v>
      </c>
      <c r="C392" s="41" t="s">
        <v>26</v>
      </c>
      <c r="D392" s="41" t="s">
        <v>26</v>
      </c>
      <c r="E392" s="41" t="s">
        <v>26</v>
      </c>
      <c r="F392" s="41" t="s">
        <v>26</v>
      </c>
      <c r="G392" s="41" t="s">
        <v>26</v>
      </c>
      <c r="H392" s="41" t="s">
        <v>26</v>
      </c>
      <c r="I392" s="41" t="s">
        <v>26</v>
      </c>
      <c r="J392" s="41" t="s">
        <v>26</v>
      </c>
      <c r="K392" s="41" t="s">
        <v>26</v>
      </c>
      <c r="L392" s="41" t="s">
        <v>26</v>
      </c>
      <c r="M392" s="41" t="s">
        <v>26</v>
      </c>
      <c r="N392" s="41" t="s">
        <v>26</v>
      </c>
      <c r="O392" s="41" t="s">
        <v>26</v>
      </c>
      <c r="P392" s="41" t="s">
        <v>26</v>
      </c>
      <c r="Q392" s="41" t="s">
        <v>26</v>
      </c>
      <c r="R392" s="41"/>
      <c r="S392" s="42" t="s">
        <v>5</v>
      </c>
      <c r="T392" s="174" t="s">
        <v>32</v>
      </c>
      <c r="U392" s="175" t="s">
        <v>247</v>
      </c>
    </row>
    <row r="393" spans="1:21">
      <c r="A393" s="8"/>
      <c r="B393" s="43">
        <v>-3</v>
      </c>
      <c r="C393" s="43">
        <v>-2</v>
      </c>
      <c r="D393" s="43">
        <v>-1</v>
      </c>
      <c r="E393" s="43">
        <v>1</v>
      </c>
      <c r="F393" s="43">
        <v>2</v>
      </c>
      <c r="G393" s="43">
        <v>3</v>
      </c>
      <c r="H393" s="43">
        <v>4</v>
      </c>
      <c r="I393" s="43">
        <v>5</v>
      </c>
      <c r="J393" s="43">
        <v>6</v>
      </c>
      <c r="K393" s="43">
        <v>7</v>
      </c>
      <c r="L393" s="43">
        <v>8</v>
      </c>
      <c r="M393" s="43">
        <v>9</v>
      </c>
      <c r="N393" s="43">
        <v>10</v>
      </c>
      <c r="O393" s="43">
        <v>11</v>
      </c>
      <c r="P393" s="43">
        <v>12</v>
      </c>
      <c r="Q393" s="43">
        <v>13</v>
      </c>
      <c r="R393" s="43"/>
      <c r="S393" s="47"/>
    </row>
    <row r="394" spans="1:21">
      <c r="A394" s="39" t="s">
        <v>178</v>
      </c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6"/>
    </row>
    <row r="395" spans="1:21">
      <c r="A395" s="139">
        <v>195</v>
      </c>
      <c r="B395" s="31"/>
      <c r="C395" s="31"/>
      <c r="D395" s="31"/>
      <c r="E395" s="31">
        <f t="shared" ref="E395:Q395" si="50">IF($T460=0,0,E460*$T395/$T460)</f>
        <v>0</v>
      </c>
      <c r="F395" s="31">
        <f t="shared" si="50"/>
        <v>0</v>
      </c>
      <c r="G395" s="31">
        <f t="shared" si="50"/>
        <v>0</v>
      </c>
      <c r="H395" s="31">
        <f t="shared" si="50"/>
        <v>0</v>
      </c>
      <c r="I395" s="31">
        <f t="shared" si="50"/>
        <v>0</v>
      </c>
      <c r="J395" s="31">
        <f t="shared" si="50"/>
        <v>0</v>
      </c>
      <c r="K395" s="31">
        <f t="shared" si="50"/>
        <v>0</v>
      </c>
      <c r="L395" s="31">
        <f t="shared" si="50"/>
        <v>0</v>
      </c>
      <c r="M395" s="31">
        <f t="shared" si="50"/>
        <v>0</v>
      </c>
      <c r="N395" s="31">
        <f t="shared" si="50"/>
        <v>0</v>
      </c>
      <c r="O395" s="31">
        <f t="shared" si="50"/>
        <v>0</v>
      </c>
      <c r="P395" s="31">
        <f t="shared" si="50"/>
        <v>0</v>
      </c>
      <c r="Q395" s="31">
        <f t="shared" si="50"/>
        <v>0</v>
      </c>
      <c r="R395" s="31"/>
      <c r="S395" s="11">
        <f t="shared" ref="S395:S412" si="51">SUM(B395:R395)</f>
        <v>0</v>
      </c>
      <c r="T395" s="2">
        <f>Resource!L10</f>
        <v>0</v>
      </c>
      <c r="U395" s="176">
        <f>Resource!M10/100</f>
        <v>0</v>
      </c>
    </row>
    <row r="396" spans="1:21">
      <c r="A396" s="141">
        <v>190</v>
      </c>
      <c r="B396" s="31"/>
      <c r="C396" s="31"/>
      <c r="D396" s="31"/>
      <c r="E396" s="31">
        <f t="shared" ref="E396:Q396" si="52">IF($T461=0,0,E461*$T396/$T461)</f>
        <v>0</v>
      </c>
      <c r="F396" s="31">
        <f t="shared" si="52"/>
        <v>0</v>
      </c>
      <c r="G396" s="31">
        <f t="shared" si="52"/>
        <v>0</v>
      </c>
      <c r="H396" s="31">
        <f t="shared" si="52"/>
        <v>0</v>
      </c>
      <c r="I396" s="31">
        <f t="shared" si="52"/>
        <v>0</v>
      </c>
      <c r="J396" s="31">
        <f t="shared" si="52"/>
        <v>0</v>
      </c>
      <c r="K396" s="31">
        <f t="shared" si="52"/>
        <v>0</v>
      </c>
      <c r="L396" s="31">
        <f t="shared" si="52"/>
        <v>0</v>
      </c>
      <c r="M396" s="31">
        <f t="shared" si="52"/>
        <v>0</v>
      </c>
      <c r="N396" s="31">
        <f t="shared" si="52"/>
        <v>0</v>
      </c>
      <c r="O396" s="31">
        <f t="shared" si="52"/>
        <v>0</v>
      </c>
      <c r="P396" s="31">
        <f t="shared" si="52"/>
        <v>0</v>
      </c>
      <c r="Q396" s="31">
        <f t="shared" si="52"/>
        <v>0</v>
      </c>
      <c r="R396" s="31"/>
      <c r="S396" s="11">
        <f t="shared" si="51"/>
        <v>0</v>
      </c>
      <c r="T396" s="2">
        <f>Resource!L11</f>
        <v>0</v>
      </c>
      <c r="U396" s="176">
        <f>Resource!M11/100</f>
        <v>0</v>
      </c>
    </row>
    <row r="397" spans="1:21">
      <c r="A397" s="141">
        <v>185</v>
      </c>
      <c r="B397" s="31"/>
      <c r="C397" s="31"/>
      <c r="D397" s="31"/>
      <c r="E397" s="31">
        <f t="shared" ref="E397:Q397" si="53">IF($T462=0,0,E462*$T397/$T462)</f>
        <v>0</v>
      </c>
      <c r="F397" s="31">
        <f t="shared" si="53"/>
        <v>0</v>
      </c>
      <c r="G397" s="31">
        <f t="shared" si="53"/>
        <v>0</v>
      </c>
      <c r="H397" s="31">
        <f t="shared" si="53"/>
        <v>0</v>
      </c>
      <c r="I397" s="31">
        <f t="shared" si="53"/>
        <v>0</v>
      </c>
      <c r="J397" s="31">
        <f t="shared" si="53"/>
        <v>0</v>
      </c>
      <c r="K397" s="31">
        <f t="shared" si="53"/>
        <v>0</v>
      </c>
      <c r="L397" s="31">
        <f t="shared" si="53"/>
        <v>0</v>
      </c>
      <c r="M397" s="31">
        <f t="shared" si="53"/>
        <v>0</v>
      </c>
      <c r="N397" s="31">
        <f t="shared" si="53"/>
        <v>0</v>
      </c>
      <c r="O397" s="31">
        <f t="shared" si="53"/>
        <v>0</v>
      </c>
      <c r="P397" s="31">
        <f t="shared" si="53"/>
        <v>0</v>
      </c>
      <c r="Q397" s="31">
        <f t="shared" si="53"/>
        <v>0</v>
      </c>
      <c r="R397" s="31"/>
      <c r="S397" s="11">
        <f t="shared" si="51"/>
        <v>0</v>
      </c>
      <c r="T397" s="2">
        <f>Resource!L12</f>
        <v>0</v>
      </c>
      <c r="U397" s="176">
        <f>Resource!M12/100</f>
        <v>0</v>
      </c>
    </row>
    <row r="398" spans="1:21">
      <c r="A398" s="141">
        <v>180</v>
      </c>
      <c r="B398" s="31"/>
      <c r="C398" s="31"/>
      <c r="D398" s="31"/>
      <c r="E398" s="31">
        <f t="shared" ref="E398:Q398" si="54">IF($T463=0,0,E463*$T398/$T463)</f>
        <v>0</v>
      </c>
      <c r="F398" s="31">
        <f t="shared" si="54"/>
        <v>0</v>
      </c>
      <c r="G398" s="31">
        <f t="shared" si="54"/>
        <v>0</v>
      </c>
      <c r="H398" s="31">
        <f t="shared" si="54"/>
        <v>0</v>
      </c>
      <c r="I398" s="31">
        <f t="shared" si="54"/>
        <v>0</v>
      </c>
      <c r="J398" s="31">
        <f t="shared" si="54"/>
        <v>0</v>
      </c>
      <c r="K398" s="31">
        <f t="shared" si="54"/>
        <v>0</v>
      </c>
      <c r="L398" s="31">
        <f t="shared" si="54"/>
        <v>0</v>
      </c>
      <c r="M398" s="31">
        <f t="shared" si="54"/>
        <v>0</v>
      </c>
      <c r="N398" s="31">
        <f t="shared" si="54"/>
        <v>0</v>
      </c>
      <c r="O398" s="31">
        <f t="shared" si="54"/>
        <v>0</v>
      </c>
      <c r="P398" s="31">
        <f t="shared" si="54"/>
        <v>0</v>
      </c>
      <c r="Q398" s="31">
        <f t="shared" si="54"/>
        <v>0</v>
      </c>
      <c r="R398" s="31"/>
      <c r="S398" s="11">
        <f t="shared" si="51"/>
        <v>0</v>
      </c>
      <c r="T398" s="2">
        <f>Resource!L13</f>
        <v>0</v>
      </c>
      <c r="U398" s="176">
        <f>Resource!M13/100</f>
        <v>0</v>
      </c>
    </row>
    <row r="399" spans="1:21">
      <c r="A399" s="141">
        <v>175</v>
      </c>
      <c r="B399" s="31"/>
      <c r="C399" s="31"/>
      <c r="D399" s="31"/>
      <c r="E399" s="31">
        <f t="shared" ref="E399:Q399" si="55">IF($T464=0,0,E464*$T399/$T464)</f>
        <v>0</v>
      </c>
      <c r="F399" s="31">
        <f t="shared" si="55"/>
        <v>0</v>
      </c>
      <c r="G399" s="31">
        <f t="shared" si="55"/>
        <v>0</v>
      </c>
      <c r="H399" s="31">
        <f t="shared" si="55"/>
        <v>0</v>
      </c>
      <c r="I399" s="31">
        <f t="shared" si="55"/>
        <v>0</v>
      </c>
      <c r="J399" s="31">
        <f t="shared" si="55"/>
        <v>0</v>
      </c>
      <c r="K399" s="31">
        <f t="shared" si="55"/>
        <v>0</v>
      </c>
      <c r="L399" s="31">
        <f t="shared" si="55"/>
        <v>0</v>
      </c>
      <c r="M399" s="31">
        <f t="shared" si="55"/>
        <v>0</v>
      </c>
      <c r="N399" s="31">
        <f t="shared" si="55"/>
        <v>0</v>
      </c>
      <c r="O399" s="31">
        <f t="shared" si="55"/>
        <v>0</v>
      </c>
      <c r="P399" s="31">
        <f t="shared" si="55"/>
        <v>0</v>
      </c>
      <c r="Q399" s="31">
        <f t="shared" si="55"/>
        <v>0</v>
      </c>
      <c r="R399" s="31"/>
      <c r="S399" s="11">
        <f t="shared" si="51"/>
        <v>0</v>
      </c>
      <c r="T399" s="2">
        <f>Resource!L14</f>
        <v>0</v>
      </c>
      <c r="U399" s="176">
        <f>Resource!M14/100</f>
        <v>0</v>
      </c>
    </row>
    <row r="400" spans="1:21">
      <c r="A400" s="141">
        <v>170</v>
      </c>
      <c r="B400" s="31"/>
      <c r="C400" s="31"/>
      <c r="D400" s="31"/>
      <c r="E400" s="31">
        <f t="shared" ref="E400:Q400" si="56">IF($T465=0,0,E465*$T400/$T465)</f>
        <v>0</v>
      </c>
      <c r="F400" s="31">
        <f t="shared" si="56"/>
        <v>0</v>
      </c>
      <c r="G400" s="31">
        <f t="shared" si="56"/>
        <v>0</v>
      </c>
      <c r="H400" s="31">
        <f t="shared" si="56"/>
        <v>0</v>
      </c>
      <c r="I400" s="31">
        <f t="shared" si="56"/>
        <v>0</v>
      </c>
      <c r="J400" s="31">
        <f t="shared" si="56"/>
        <v>0</v>
      </c>
      <c r="K400" s="31">
        <f t="shared" si="56"/>
        <v>0</v>
      </c>
      <c r="L400" s="31">
        <f t="shared" si="56"/>
        <v>0</v>
      </c>
      <c r="M400" s="31">
        <f t="shared" si="56"/>
        <v>0</v>
      </c>
      <c r="N400" s="31">
        <f t="shared" si="56"/>
        <v>0</v>
      </c>
      <c r="O400" s="31">
        <f t="shared" si="56"/>
        <v>0</v>
      </c>
      <c r="P400" s="31">
        <f t="shared" si="56"/>
        <v>0</v>
      </c>
      <c r="Q400" s="31">
        <f t="shared" si="56"/>
        <v>0</v>
      </c>
      <c r="R400" s="31"/>
      <c r="S400" s="11">
        <f t="shared" si="51"/>
        <v>0</v>
      </c>
      <c r="T400" s="2">
        <f>Resource!L15</f>
        <v>0</v>
      </c>
      <c r="U400" s="176">
        <f>Resource!M15/100</f>
        <v>0</v>
      </c>
    </row>
    <row r="401" spans="1:21">
      <c r="A401" s="146">
        <v>165</v>
      </c>
      <c r="B401" s="31"/>
      <c r="C401" s="31"/>
      <c r="D401" s="31"/>
      <c r="E401" s="31">
        <f t="shared" ref="E401:Q401" si="57">IF($T466=0,0,E466*$T401/$T466)</f>
        <v>0</v>
      </c>
      <c r="F401" s="31">
        <f t="shared" si="57"/>
        <v>0</v>
      </c>
      <c r="G401" s="31">
        <f t="shared" si="57"/>
        <v>0</v>
      </c>
      <c r="H401" s="31">
        <f t="shared" si="57"/>
        <v>0</v>
      </c>
      <c r="I401" s="31">
        <f t="shared" si="57"/>
        <v>0</v>
      </c>
      <c r="J401" s="31">
        <f t="shared" si="57"/>
        <v>0</v>
      </c>
      <c r="K401" s="31">
        <f t="shared" si="57"/>
        <v>0</v>
      </c>
      <c r="L401" s="31">
        <f t="shared" si="57"/>
        <v>0</v>
      </c>
      <c r="M401" s="31">
        <f t="shared" si="57"/>
        <v>0</v>
      </c>
      <c r="N401" s="31">
        <f t="shared" si="57"/>
        <v>0</v>
      </c>
      <c r="O401" s="31">
        <f t="shared" si="57"/>
        <v>0</v>
      </c>
      <c r="P401" s="31">
        <f t="shared" si="57"/>
        <v>0</v>
      </c>
      <c r="Q401" s="31">
        <f t="shared" si="57"/>
        <v>0</v>
      </c>
      <c r="R401" s="31"/>
      <c r="S401" s="11">
        <f t="shared" si="51"/>
        <v>0</v>
      </c>
      <c r="T401" s="2">
        <f>Resource!L16</f>
        <v>0</v>
      </c>
      <c r="U401" s="176">
        <f>Resource!M16/100</f>
        <v>0</v>
      </c>
    </row>
    <row r="402" spans="1:21">
      <c r="A402" s="146">
        <v>160</v>
      </c>
      <c r="B402" s="31"/>
      <c r="C402" s="31"/>
      <c r="D402" s="31"/>
      <c r="E402" s="31">
        <f t="shared" ref="E402:Q402" si="58">IF($T467=0,0,E467*$T402/$T467)</f>
        <v>0</v>
      </c>
      <c r="F402" s="31">
        <f t="shared" si="58"/>
        <v>0</v>
      </c>
      <c r="G402" s="31">
        <f t="shared" si="58"/>
        <v>0</v>
      </c>
      <c r="H402" s="31">
        <f t="shared" si="58"/>
        <v>0</v>
      </c>
      <c r="I402" s="31">
        <f t="shared" si="58"/>
        <v>0</v>
      </c>
      <c r="J402" s="31">
        <f t="shared" si="58"/>
        <v>0</v>
      </c>
      <c r="K402" s="31">
        <f t="shared" si="58"/>
        <v>0</v>
      </c>
      <c r="L402" s="31">
        <f t="shared" si="58"/>
        <v>0</v>
      </c>
      <c r="M402" s="31">
        <f t="shared" si="58"/>
        <v>0</v>
      </c>
      <c r="N402" s="31">
        <f t="shared" si="58"/>
        <v>0</v>
      </c>
      <c r="O402" s="31">
        <f t="shared" si="58"/>
        <v>0</v>
      </c>
      <c r="P402" s="31">
        <f t="shared" si="58"/>
        <v>0</v>
      </c>
      <c r="Q402" s="31">
        <f t="shared" si="58"/>
        <v>0</v>
      </c>
      <c r="R402" s="31"/>
      <c r="S402" s="11">
        <f t="shared" si="51"/>
        <v>0</v>
      </c>
      <c r="T402" s="2">
        <f>Resource!L17</f>
        <v>0</v>
      </c>
      <c r="U402" s="176">
        <f>Resource!M17/100</f>
        <v>0</v>
      </c>
    </row>
    <row r="403" spans="1:21">
      <c r="A403" s="146">
        <v>155</v>
      </c>
      <c r="B403" s="31"/>
      <c r="C403" s="31"/>
      <c r="D403" s="31"/>
      <c r="E403" s="31">
        <f t="shared" ref="E403:Q403" si="59">IF($T468=0,0,E468*$T403/$T468)</f>
        <v>61560</v>
      </c>
      <c r="F403" s="31">
        <f t="shared" si="59"/>
        <v>0</v>
      </c>
      <c r="G403" s="31">
        <f t="shared" si="59"/>
        <v>0</v>
      </c>
      <c r="H403" s="31">
        <f t="shared" si="59"/>
        <v>0</v>
      </c>
      <c r="I403" s="31">
        <f t="shared" si="59"/>
        <v>0</v>
      </c>
      <c r="J403" s="31">
        <f t="shared" si="59"/>
        <v>0</v>
      </c>
      <c r="K403" s="31">
        <f t="shared" si="59"/>
        <v>0</v>
      </c>
      <c r="L403" s="31">
        <f t="shared" si="59"/>
        <v>0</v>
      </c>
      <c r="M403" s="31">
        <f t="shared" si="59"/>
        <v>0</v>
      </c>
      <c r="N403" s="31">
        <f t="shared" si="59"/>
        <v>0</v>
      </c>
      <c r="O403" s="31">
        <f t="shared" si="59"/>
        <v>0</v>
      </c>
      <c r="P403" s="31">
        <f t="shared" si="59"/>
        <v>0</v>
      </c>
      <c r="Q403" s="31">
        <f t="shared" si="59"/>
        <v>0</v>
      </c>
      <c r="R403" s="31"/>
      <c r="S403" s="11">
        <f t="shared" si="51"/>
        <v>61560</v>
      </c>
      <c r="T403" s="2">
        <f>Resource!L18</f>
        <v>61560</v>
      </c>
      <c r="U403" s="176">
        <f>Resource!M18/100</f>
        <v>0.44299999999999995</v>
      </c>
    </row>
    <row r="404" spans="1:21">
      <c r="A404" s="146">
        <v>150</v>
      </c>
      <c r="B404" s="31"/>
      <c r="C404" s="31"/>
      <c r="D404" s="31"/>
      <c r="E404" s="31">
        <f t="shared" ref="E404:Q404" si="60">IF($T469=0,0,E469*$T404/$T469)</f>
        <v>96026</v>
      </c>
      <c r="F404" s="31">
        <f t="shared" si="60"/>
        <v>0</v>
      </c>
      <c r="G404" s="31">
        <f t="shared" si="60"/>
        <v>0</v>
      </c>
      <c r="H404" s="31">
        <f t="shared" si="60"/>
        <v>0</v>
      </c>
      <c r="I404" s="31">
        <f t="shared" si="60"/>
        <v>0</v>
      </c>
      <c r="J404" s="31">
        <f t="shared" si="60"/>
        <v>0</v>
      </c>
      <c r="K404" s="31">
        <f t="shared" si="60"/>
        <v>0</v>
      </c>
      <c r="L404" s="31">
        <f t="shared" si="60"/>
        <v>0</v>
      </c>
      <c r="M404" s="31">
        <f t="shared" si="60"/>
        <v>0</v>
      </c>
      <c r="N404" s="31">
        <f t="shared" si="60"/>
        <v>0</v>
      </c>
      <c r="O404" s="31">
        <f t="shared" si="60"/>
        <v>0</v>
      </c>
      <c r="P404" s="31">
        <f t="shared" si="60"/>
        <v>0</v>
      </c>
      <c r="Q404" s="31">
        <f t="shared" si="60"/>
        <v>0</v>
      </c>
      <c r="R404" s="31"/>
      <c r="S404" s="11">
        <f t="shared" si="51"/>
        <v>96026</v>
      </c>
      <c r="T404" s="2">
        <f>Resource!L19</f>
        <v>96026</v>
      </c>
      <c r="U404" s="176">
        <f>Resource!M19/100</f>
        <v>0.39128452710724171</v>
      </c>
    </row>
    <row r="405" spans="1:21">
      <c r="A405" s="146">
        <v>145</v>
      </c>
      <c r="B405" s="31"/>
      <c r="C405" s="31"/>
      <c r="D405" s="31"/>
      <c r="E405" s="31">
        <f t="shared" ref="E405:Q405" si="61">IF($T470=0,0,E470*$T405/$T470)</f>
        <v>78668.962932361843</v>
      </c>
      <c r="F405" s="31">
        <f t="shared" si="61"/>
        <v>64268.037067638164</v>
      </c>
      <c r="G405" s="31">
        <f t="shared" si="61"/>
        <v>0</v>
      </c>
      <c r="H405" s="31">
        <f t="shared" si="61"/>
        <v>0</v>
      </c>
      <c r="I405" s="31">
        <f t="shared" si="61"/>
        <v>0</v>
      </c>
      <c r="J405" s="31">
        <f t="shared" si="61"/>
        <v>0</v>
      </c>
      <c r="K405" s="31">
        <f t="shared" si="61"/>
        <v>0</v>
      </c>
      <c r="L405" s="31">
        <f t="shared" si="61"/>
        <v>0</v>
      </c>
      <c r="M405" s="31">
        <f t="shared" si="61"/>
        <v>0</v>
      </c>
      <c r="N405" s="31">
        <f t="shared" si="61"/>
        <v>0</v>
      </c>
      <c r="O405" s="31">
        <f t="shared" si="61"/>
        <v>0</v>
      </c>
      <c r="P405" s="31">
        <f t="shared" si="61"/>
        <v>0</v>
      </c>
      <c r="Q405" s="31">
        <f t="shared" si="61"/>
        <v>0</v>
      </c>
      <c r="R405" s="31"/>
      <c r="S405" s="11">
        <f t="shared" si="51"/>
        <v>142937</v>
      </c>
      <c r="T405" s="2">
        <f>Resource!L20</f>
        <v>142937</v>
      </c>
      <c r="U405" s="176">
        <f>Resource!M20/100</f>
        <v>0.35614302804732156</v>
      </c>
    </row>
    <row r="406" spans="1:21">
      <c r="A406" s="146">
        <v>140</v>
      </c>
      <c r="B406" s="31"/>
      <c r="C406" s="31"/>
      <c r="D406" s="31"/>
      <c r="E406" s="31">
        <f t="shared" ref="E406:Q406" si="62">IF($T471=0,0,E471*$T406/$T471)</f>
        <v>0</v>
      </c>
      <c r="F406" s="31">
        <f t="shared" si="62"/>
        <v>132325.5</v>
      </c>
      <c r="G406" s="31">
        <f t="shared" si="62"/>
        <v>0</v>
      </c>
      <c r="H406" s="31">
        <f t="shared" si="62"/>
        <v>0</v>
      </c>
      <c r="I406" s="31">
        <f t="shared" si="62"/>
        <v>0</v>
      </c>
      <c r="J406" s="31">
        <f t="shared" si="62"/>
        <v>0</v>
      </c>
      <c r="K406" s="31">
        <f t="shared" si="62"/>
        <v>0</v>
      </c>
      <c r="L406" s="31">
        <f t="shared" si="62"/>
        <v>0</v>
      </c>
      <c r="M406" s="31">
        <f t="shared" si="62"/>
        <v>0</v>
      </c>
      <c r="N406" s="31">
        <f t="shared" si="62"/>
        <v>0</v>
      </c>
      <c r="O406" s="31">
        <f t="shared" si="62"/>
        <v>0</v>
      </c>
      <c r="P406" s="31">
        <f t="shared" si="62"/>
        <v>0</v>
      </c>
      <c r="Q406" s="31">
        <f t="shared" si="62"/>
        <v>0</v>
      </c>
      <c r="R406" s="31"/>
      <c r="S406" s="11">
        <f t="shared" si="51"/>
        <v>132325.5</v>
      </c>
      <c r="T406" s="2">
        <f>Resource!L21</f>
        <v>132325.5</v>
      </c>
      <c r="U406" s="176">
        <f>Resource!M21/100</f>
        <v>0.30226663794960151</v>
      </c>
    </row>
    <row r="407" spans="1:21">
      <c r="A407" s="146">
        <v>135</v>
      </c>
      <c r="B407" s="31"/>
      <c r="C407" s="31"/>
      <c r="D407" s="31"/>
      <c r="E407" s="31">
        <f t="shared" ref="E407:Q407" si="63">IF($T472=0,0,E472*$T407/$T472)</f>
        <v>0</v>
      </c>
      <c r="F407" s="31">
        <f t="shared" si="63"/>
        <v>120650</v>
      </c>
      <c r="G407" s="31">
        <f t="shared" si="63"/>
        <v>0</v>
      </c>
      <c r="H407" s="31">
        <f t="shared" si="63"/>
        <v>0</v>
      </c>
      <c r="I407" s="31">
        <f t="shared" si="63"/>
        <v>0</v>
      </c>
      <c r="J407" s="31">
        <f t="shared" si="63"/>
        <v>0</v>
      </c>
      <c r="K407" s="31">
        <f t="shared" si="63"/>
        <v>0</v>
      </c>
      <c r="L407" s="31">
        <f t="shared" si="63"/>
        <v>0</v>
      </c>
      <c r="M407" s="31">
        <f t="shared" si="63"/>
        <v>0</v>
      </c>
      <c r="N407" s="31">
        <f t="shared" si="63"/>
        <v>0</v>
      </c>
      <c r="O407" s="31">
        <f t="shared" si="63"/>
        <v>0</v>
      </c>
      <c r="P407" s="31">
        <f t="shared" si="63"/>
        <v>0</v>
      </c>
      <c r="Q407" s="31">
        <f t="shared" si="63"/>
        <v>0</v>
      </c>
      <c r="R407" s="31"/>
      <c r="S407" s="11">
        <f t="shared" si="51"/>
        <v>120650</v>
      </c>
      <c r="T407" s="2">
        <f>Resource!L22</f>
        <v>120650</v>
      </c>
      <c r="U407" s="176">
        <f>Resource!M22/100</f>
        <v>0.40183937007874015</v>
      </c>
    </row>
    <row r="408" spans="1:21">
      <c r="A408" s="146">
        <v>130</v>
      </c>
      <c r="B408" s="31"/>
      <c r="C408" s="31"/>
      <c r="D408" s="31"/>
      <c r="E408" s="31">
        <f t="shared" ref="E408:Q408" si="64">IF($T473=0,0,E473*$T408/$T473)</f>
        <v>0</v>
      </c>
      <c r="F408" s="31">
        <f t="shared" si="64"/>
        <v>14699.274812544068</v>
      </c>
      <c r="G408" s="31">
        <f t="shared" si="64"/>
        <v>94873.725187455944</v>
      </c>
      <c r="H408" s="31">
        <f t="shared" si="64"/>
        <v>0</v>
      </c>
      <c r="I408" s="31">
        <f t="shared" si="64"/>
        <v>0</v>
      </c>
      <c r="J408" s="31">
        <f t="shared" si="64"/>
        <v>0</v>
      </c>
      <c r="K408" s="31">
        <f t="shared" si="64"/>
        <v>0</v>
      </c>
      <c r="L408" s="31">
        <f t="shared" si="64"/>
        <v>0</v>
      </c>
      <c r="M408" s="31">
        <f t="shared" si="64"/>
        <v>0</v>
      </c>
      <c r="N408" s="31">
        <f t="shared" si="64"/>
        <v>0</v>
      </c>
      <c r="O408" s="31">
        <f t="shared" si="64"/>
        <v>0</v>
      </c>
      <c r="P408" s="31">
        <f t="shared" si="64"/>
        <v>0</v>
      </c>
      <c r="Q408" s="31">
        <f t="shared" si="64"/>
        <v>0</v>
      </c>
      <c r="R408" s="31"/>
      <c r="S408" s="11">
        <f t="shared" si="51"/>
        <v>109573.00000000001</v>
      </c>
      <c r="T408" s="2">
        <f>Resource!L23</f>
        <v>109573</v>
      </c>
      <c r="U408" s="176">
        <f>Resource!M23/100</f>
        <v>0.42033917114617642</v>
      </c>
    </row>
    <row r="409" spans="1:21">
      <c r="A409" s="146">
        <v>125</v>
      </c>
      <c r="B409" s="31"/>
      <c r="C409" s="31"/>
      <c r="D409" s="31"/>
      <c r="E409" s="31">
        <f t="shared" ref="E409:Q409" si="65">IF($T474=0,0,E474*$T409/$T474)</f>
        <v>0</v>
      </c>
      <c r="F409" s="31">
        <f t="shared" si="65"/>
        <v>0</v>
      </c>
      <c r="G409" s="31">
        <f t="shared" si="65"/>
        <v>98895</v>
      </c>
      <c r="H409" s="31">
        <f t="shared" si="65"/>
        <v>0</v>
      </c>
      <c r="I409" s="31">
        <f t="shared" si="65"/>
        <v>0</v>
      </c>
      <c r="J409" s="31">
        <f t="shared" si="65"/>
        <v>0</v>
      </c>
      <c r="K409" s="31">
        <f t="shared" si="65"/>
        <v>0</v>
      </c>
      <c r="L409" s="31">
        <f t="shared" si="65"/>
        <v>0</v>
      </c>
      <c r="M409" s="31">
        <f t="shared" si="65"/>
        <v>0</v>
      </c>
      <c r="N409" s="31">
        <f t="shared" si="65"/>
        <v>0</v>
      </c>
      <c r="O409" s="31">
        <f t="shared" si="65"/>
        <v>0</v>
      </c>
      <c r="P409" s="31">
        <f t="shared" si="65"/>
        <v>0</v>
      </c>
      <c r="Q409" s="31">
        <f t="shared" si="65"/>
        <v>0</v>
      </c>
      <c r="R409" s="31"/>
      <c r="S409" s="11">
        <f t="shared" si="51"/>
        <v>98895</v>
      </c>
      <c r="T409" s="2">
        <f>Resource!L24</f>
        <v>98895</v>
      </c>
      <c r="U409" s="176">
        <f>Resource!M24/100</f>
        <v>0.36767723342939473</v>
      </c>
    </row>
    <row r="410" spans="1:21">
      <c r="A410" s="146">
        <v>120</v>
      </c>
      <c r="B410" s="31"/>
      <c r="C410" s="31"/>
      <c r="D410" s="31"/>
      <c r="E410" s="31">
        <f t="shared" ref="E410:Q410" si="66">IF($T475=0,0,E475*$T410/$T475)</f>
        <v>0</v>
      </c>
      <c r="F410" s="31">
        <f t="shared" si="66"/>
        <v>0</v>
      </c>
      <c r="G410" s="31">
        <f t="shared" si="66"/>
        <v>0</v>
      </c>
      <c r="H410" s="31">
        <f t="shared" si="66"/>
        <v>0</v>
      </c>
      <c r="I410" s="31">
        <f t="shared" si="66"/>
        <v>0</v>
      </c>
      <c r="J410" s="31">
        <f t="shared" si="66"/>
        <v>0</v>
      </c>
      <c r="K410" s="31">
        <f t="shared" si="66"/>
        <v>0</v>
      </c>
      <c r="L410" s="31">
        <f t="shared" si="66"/>
        <v>0</v>
      </c>
      <c r="M410" s="31">
        <f t="shared" si="66"/>
        <v>0</v>
      </c>
      <c r="N410" s="31">
        <f t="shared" si="66"/>
        <v>0</v>
      </c>
      <c r="O410" s="31">
        <f t="shared" si="66"/>
        <v>0</v>
      </c>
      <c r="P410" s="31">
        <f t="shared" si="66"/>
        <v>0</v>
      </c>
      <c r="Q410" s="31">
        <f t="shared" si="66"/>
        <v>0</v>
      </c>
      <c r="R410" s="31"/>
      <c r="S410" s="11">
        <f t="shared" si="51"/>
        <v>0</v>
      </c>
      <c r="T410" s="2">
        <f>Resource!L25</f>
        <v>0</v>
      </c>
      <c r="U410" s="176">
        <f>Resource!M25/100</f>
        <v>0</v>
      </c>
    </row>
    <row r="411" spans="1:21">
      <c r="A411" s="146">
        <v>115</v>
      </c>
      <c r="B411" s="31"/>
      <c r="C411" s="31"/>
      <c r="D411" s="31"/>
      <c r="E411" s="31">
        <f t="shared" ref="E411:Q411" si="67">IF($T476=0,0,E476*$T411/$T476)</f>
        <v>0</v>
      </c>
      <c r="F411" s="31">
        <f t="shared" si="67"/>
        <v>0</v>
      </c>
      <c r="G411" s="31">
        <f t="shared" si="67"/>
        <v>0</v>
      </c>
      <c r="H411" s="31">
        <f t="shared" si="67"/>
        <v>0</v>
      </c>
      <c r="I411" s="31">
        <f t="shared" si="67"/>
        <v>0</v>
      </c>
      <c r="J411" s="31">
        <f t="shared" si="67"/>
        <v>0</v>
      </c>
      <c r="K411" s="31">
        <f t="shared" si="67"/>
        <v>0</v>
      </c>
      <c r="L411" s="31">
        <f t="shared" si="67"/>
        <v>0</v>
      </c>
      <c r="M411" s="31">
        <f t="shared" si="67"/>
        <v>0</v>
      </c>
      <c r="N411" s="31">
        <f t="shared" si="67"/>
        <v>0</v>
      </c>
      <c r="O411" s="31">
        <f t="shared" si="67"/>
        <v>0</v>
      </c>
      <c r="P411" s="31">
        <f t="shared" si="67"/>
        <v>0</v>
      </c>
      <c r="Q411" s="31">
        <f t="shared" si="67"/>
        <v>0</v>
      </c>
      <c r="R411" s="31"/>
      <c r="S411" s="11">
        <f t="shared" si="51"/>
        <v>0</v>
      </c>
      <c r="T411" s="2">
        <f>Resource!L26</f>
        <v>0</v>
      </c>
      <c r="U411" s="176">
        <f>Resource!M26/100</f>
        <v>0</v>
      </c>
    </row>
    <row r="412" spans="1:21">
      <c r="A412" s="146">
        <v>110</v>
      </c>
      <c r="B412" s="31"/>
      <c r="C412" s="31"/>
      <c r="D412" s="31"/>
      <c r="E412" s="31">
        <f t="shared" ref="E412:Q412" si="68">IF($T477=0,0,E477*$T412/$T477)</f>
        <v>0</v>
      </c>
      <c r="F412" s="31">
        <f t="shared" si="68"/>
        <v>0</v>
      </c>
      <c r="G412" s="31">
        <f t="shared" si="68"/>
        <v>0</v>
      </c>
      <c r="H412" s="31">
        <f t="shared" si="68"/>
        <v>0</v>
      </c>
      <c r="I412" s="31">
        <f t="shared" si="68"/>
        <v>0</v>
      </c>
      <c r="J412" s="31">
        <f t="shared" si="68"/>
        <v>0</v>
      </c>
      <c r="K412" s="31">
        <f t="shared" si="68"/>
        <v>0</v>
      </c>
      <c r="L412" s="31">
        <f t="shared" si="68"/>
        <v>0</v>
      </c>
      <c r="M412" s="31">
        <f t="shared" si="68"/>
        <v>0</v>
      </c>
      <c r="N412" s="31">
        <f t="shared" si="68"/>
        <v>0</v>
      </c>
      <c r="O412" s="31">
        <f t="shared" si="68"/>
        <v>0</v>
      </c>
      <c r="P412" s="31">
        <f t="shared" si="68"/>
        <v>0</v>
      </c>
      <c r="Q412" s="31">
        <f t="shared" si="68"/>
        <v>0</v>
      </c>
      <c r="R412" s="31"/>
      <c r="S412" s="11">
        <f t="shared" si="51"/>
        <v>0</v>
      </c>
      <c r="T412" s="2">
        <f>Resource!L27</f>
        <v>0</v>
      </c>
      <c r="U412" s="176">
        <f>Resource!M27/100</f>
        <v>0</v>
      </c>
    </row>
    <row r="413" spans="1:21">
      <c r="A413" s="112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11"/>
    </row>
    <row r="414" spans="1:21">
      <c r="A414" s="39" t="s">
        <v>179</v>
      </c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11"/>
    </row>
    <row r="415" spans="1:21">
      <c r="A415" s="146">
        <v>150</v>
      </c>
      <c r="B415" s="31"/>
      <c r="C415" s="31"/>
      <c r="D415" s="31"/>
      <c r="E415" s="31">
        <f t="shared" ref="E415:Q415" si="69">IF($T480=0,0,E480*$T415/$T480)</f>
        <v>0</v>
      </c>
      <c r="F415" s="31">
        <f t="shared" si="69"/>
        <v>0</v>
      </c>
      <c r="G415" s="31">
        <f t="shared" si="69"/>
        <v>0</v>
      </c>
      <c r="H415" s="31">
        <f t="shared" si="69"/>
        <v>0</v>
      </c>
      <c r="I415" s="31">
        <f t="shared" si="69"/>
        <v>0</v>
      </c>
      <c r="J415" s="31">
        <f t="shared" si="69"/>
        <v>0</v>
      </c>
      <c r="K415" s="31">
        <f t="shared" si="69"/>
        <v>0</v>
      </c>
      <c r="L415" s="31">
        <f t="shared" si="69"/>
        <v>0</v>
      </c>
      <c r="M415" s="31">
        <f t="shared" si="69"/>
        <v>0</v>
      </c>
      <c r="N415" s="31">
        <f t="shared" si="69"/>
        <v>0</v>
      </c>
      <c r="O415" s="31">
        <f t="shared" si="69"/>
        <v>0</v>
      </c>
      <c r="P415" s="31">
        <f t="shared" si="69"/>
        <v>0</v>
      </c>
      <c r="Q415" s="31">
        <f t="shared" si="69"/>
        <v>0</v>
      </c>
      <c r="R415" s="31"/>
      <c r="S415" s="11">
        <f t="shared" ref="S415:S445" si="70">SUM(B415:R415)</f>
        <v>0</v>
      </c>
      <c r="T415" s="2">
        <f>Resource!L30</f>
        <v>0</v>
      </c>
      <c r="U415" s="176">
        <f>Resource!M30/100</f>
        <v>0</v>
      </c>
    </row>
    <row r="416" spans="1:21">
      <c r="A416" s="146">
        <v>145</v>
      </c>
      <c r="B416" s="31"/>
      <c r="C416" s="31"/>
      <c r="D416" s="31"/>
      <c r="E416" s="31">
        <f t="shared" ref="E416:Q416" si="71">IF($T481=0,0,E481*$T416/$T481)</f>
        <v>0</v>
      </c>
      <c r="F416" s="31">
        <f t="shared" si="71"/>
        <v>0</v>
      </c>
      <c r="G416" s="31">
        <f t="shared" si="71"/>
        <v>0</v>
      </c>
      <c r="H416" s="31">
        <f t="shared" si="71"/>
        <v>0</v>
      </c>
      <c r="I416" s="31">
        <f t="shared" si="71"/>
        <v>0</v>
      </c>
      <c r="J416" s="31">
        <f t="shared" si="71"/>
        <v>0</v>
      </c>
      <c r="K416" s="31">
        <f t="shared" si="71"/>
        <v>0</v>
      </c>
      <c r="L416" s="31">
        <f t="shared" si="71"/>
        <v>0</v>
      </c>
      <c r="M416" s="31">
        <f t="shared" si="71"/>
        <v>0</v>
      </c>
      <c r="N416" s="31">
        <f t="shared" si="71"/>
        <v>0</v>
      </c>
      <c r="O416" s="31">
        <f t="shared" si="71"/>
        <v>0</v>
      </c>
      <c r="P416" s="31">
        <f t="shared" si="71"/>
        <v>0</v>
      </c>
      <c r="Q416" s="31">
        <f t="shared" si="71"/>
        <v>0</v>
      </c>
      <c r="R416" s="31"/>
      <c r="S416" s="11">
        <f t="shared" si="70"/>
        <v>0</v>
      </c>
      <c r="T416" s="2">
        <f>Resource!L31</f>
        <v>0</v>
      </c>
      <c r="U416" s="176">
        <f>Resource!M31/100</f>
        <v>0</v>
      </c>
    </row>
    <row r="417" spans="1:21">
      <c r="A417" s="146">
        <v>140</v>
      </c>
      <c r="B417" s="31"/>
      <c r="C417" s="31"/>
      <c r="D417" s="31"/>
      <c r="E417" s="31">
        <f t="shared" ref="E417:Q417" si="72">IF($T482=0,0,E482*$T417/$T482)</f>
        <v>0</v>
      </c>
      <c r="F417" s="31">
        <f t="shared" si="72"/>
        <v>0</v>
      </c>
      <c r="G417" s="31">
        <f t="shared" si="72"/>
        <v>0</v>
      </c>
      <c r="H417" s="31">
        <f t="shared" si="72"/>
        <v>0</v>
      </c>
      <c r="I417" s="31">
        <f t="shared" si="72"/>
        <v>0</v>
      </c>
      <c r="J417" s="31">
        <f t="shared" si="72"/>
        <v>0</v>
      </c>
      <c r="K417" s="31">
        <f t="shared" si="72"/>
        <v>0</v>
      </c>
      <c r="L417" s="31">
        <f t="shared" si="72"/>
        <v>0</v>
      </c>
      <c r="M417" s="31">
        <f t="shared" si="72"/>
        <v>0</v>
      </c>
      <c r="N417" s="31">
        <f t="shared" si="72"/>
        <v>0</v>
      </c>
      <c r="O417" s="31">
        <f t="shared" si="72"/>
        <v>0</v>
      </c>
      <c r="P417" s="31">
        <f t="shared" si="72"/>
        <v>0</v>
      </c>
      <c r="Q417" s="31">
        <f t="shared" si="72"/>
        <v>0</v>
      </c>
      <c r="R417" s="31"/>
      <c r="S417" s="11">
        <f t="shared" si="70"/>
        <v>0</v>
      </c>
      <c r="T417" s="2">
        <f>Resource!L32</f>
        <v>0</v>
      </c>
      <c r="U417" s="176">
        <f>Resource!M32/100</f>
        <v>0</v>
      </c>
    </row>
    <row r="418" spans="1:21">
      <c r="A418" s="146">
        <v>135</v>
      </c>
      <c r="B418" s="31"/>
      <c r="C418" s="31"/>
      <c r="D418" s="31"/>
      <c r="E418" s="31">
        <f t="shared" ref="E418:Q418" si="73">IF($T483=0,0,E483*$T418/$T483)</f>
        <v>0</v>
      </c>
      <c r="F418" s="31">
        <f t="shared" si="73"/>
        <v>0</v>
      </c>
      <c r="G418" s="31">
        <f t="shared" si="73"/>
        <v>0</v>
      </c>
      <c r="H418" s="31">
        <f t="shared" si="73"/>
        <v>0</v>
      </c>
      <c r="I418" s="31">
        <f t="shared" si="73"/>
        <v>0</v>
      </c>
      <c r="J418" s="31">
        <f t="shared" si="73"/>
        <v>0</v>
      </c>
      <c r="K418" s="31">
        <f t="shared" si="73"/>
        <v>0</v>
      </c>
      <c r="L418" s="31">
        <f t="shared" si="73"/>
        <v>0</v>
      </c>
      <c r="M418" s="31">
        <f t="shared" si="73"/>
        <v>0</v>
      </c>
      <c r="N418" s="31">
        <f t="shared" si="73"/>
        <v>0</v>
      </c>
      <c r="O418" s="31">
        <f t="shared" si="73"/>
        <v>0</v>
      </c>
      <c r="P418" s="31">
        <f t="shared" si="73"/>
        <v>0</v>
      </c>
      <c r="Q418" s="31">
        <f t="shared" si="73"/>
        <v>0</v>
      </c>
      <c r="R418" s="31"/>
      <c r="S418" s="11">
        <f t="shared" si="70"/>
        <v>0</v>
      </c>
      <c r="T418" s="2">
        <f>Resource!L33</f>
        <v>0</v>
      </c>
      <c r="U418" s="176">
        <f>Resource!M33/100</f>
        <v>0</v>
      </c>
    </row>
    <row r="419" spans="1:21">
      <c r="A419" s="146">
        <v>130</v>
      </c>
      <c r="B419" s="31"/>
      <c r="C419" s="31"/>
      <c r="D419" s="31"/>
      <c r="E419" s="31">
        <f t="shared" ref="E419:Q419" si="74">IF($T484=0,0,E484*$T419/$T484)</f>
        <v>0</v>
      </c>
      <c r="F419" s="31">
        <f t="shared" si="74"/>
        <v>0</v>
      </c>
      <c r="G419" s="31">
        <f t="shared" si="74"/>
        <v>0</v>
      </c>
      <c r="H419" s="31">
        <f t="shared" si="74"/>
        <v>0</v>
      </c>
      <c r="I419" s="31">
        <f t="shared" si="74"/>
        <v>0</v>
      </c>
      <c r="J419" s="31">
        <f t="shared" si="74"/>
        <v>0</v>
      </c>
      <c r="K419" s="31">
        <f t="shared" si="74"/>
        <v>0</v>
      </c>
      <c r="L419" s="31">
        <f t="shared" si="74"/>
        <v>0</v>
      </c>
      <c r="M419" s="31">
        <f t="shared" si="74"/>
        <v>0</v>
      </c>
      <c r="N419" s="31">
        <f t="shared" si="74"/>
        <v>0</v>
      </c>
      <c r="O419" s="31">
        <f t="shared" si="74"/>
        <v>0</v>
      </c>
      <c r="P419" s="31">
        <f t="shared" si="74"/>
        <v>0</v>
      </c>
      <c r="Q419" s="31">
        <f t="shared" si="74"/>
        <v>0</v>
      </c>
      <c r="R419" s="31"/>
      <c r="S419" s="11">
        <f t="shared" si="70"/>
        <v>0</v>
      </c>
      <c r="T419" s="2">
        <f>Resource!L34</f>
        <v>0</v>
      </c>
      <c r="U419" s="176">
        <f>Resource!M34/100</f>
        <v>0</v>
      </c>
    </row>
    <row r="420" spans="1:21">
      <c r="A420" s="146">
        <v>125</v>
      </c>
      <c r="B420" s="31"/>
      <c r="C420" s="31"/>
      <c r="D420" s="31"/>
      <c r="E420" s="31">
        <f t="shared" ref="E420:Q420" si="75">IF($T485=0,0,E485*$T420/$T485)</f>
        <v>0</v>
      </c>
      <c r="F420" s="31">
        <f t="shared" si="75"/>
        <v>0</v>
      </c>
      <c r="G420" s="31">
        <f t="shared" si="75"/>
        <v>101547.09233270305</v>
      </c>
      <c r="H420" s="31">
        <f t="shared" si="75"/>
        <v>288976.74339492241</v>
      </c>
      <c r="I420" s="31">
        <f t="shared" si="75"/>
        <v>123473.66427237456</v>
      </c>
      <c r="J420" s="31">
        <f t="shared" si="75"/>
        <v>0</v>
      </c>
      <c r="K420" s="31">
        <f t="shared" si="75"/>
        <v>0</v>
      </c>
      <c r="L420" s="31">
        <f t="shared" si="75"/>
        <v>0</v>
      </c>
      <c r="M420" s="31">
        <f t="shared" si="75"/>
        <v>0</v>
      </c>
      <c r="N420" s="31">
        <f t="shared" si="75"/>
        <v>0</v>
      </c>
      <c r="O420" s="31">
        <f t="shared" si="75"/>
        <v>0</v>
      </c>
      <c r="P420" s="31">
        <f t="shared" si="75"/>
        <v>0</v>
      </c>
      <c r="Q420" s="31">
        <f t="shared" si="75"/>
        <v>0</v>
      </c>
      <c r="R420" s="31"/>
      <c r="S420" s="11">
        <f t="shared" si="70"/>
        <v>513997.5</v>
      </c>
      <c r="T420" s="2">
        <f>Resource!L35</f>
        <v>513997.5</v>
      </c>
      <c r="U420" s="176">
        <f>Resource!M35/100</f>
        <v>0.4067690601607985</v>
      </c>
    </row>
    <row r="421" spans="1:21">
      <c r="A421" s="146">
        <v>120</v>
      </c>
      <c r="B421" s="31"/>
      <c r="C421" s="31"/>
      <c r="D421" s="31"/>
      <c r="E421" s="31">
        <f t="shared" ref="E421:Q421" si="76">IF($T486=0,0,E486*$T421/$T486)</f>
        <v>0</v>
      </c>
      <c r="F421" s="31">
        <f t="shared" si="76"/>
        <v>0</v>
      </c>
      <c r="G421" s="31">
        <f t="shared" si="76"/>
        <v>0</v>
      </c>
      <c r="H421" s="31">
        <f t="shared" si="76"/>
        <v>0</v>
      </c>
      <c r="I421" s="31">
        <f t="shared" si="76"/>
        <v>167228.22224956931</v>
      </c>
      <c r="J421" s="31">
        <f t="shared" si="76"/>
        <v>293417.27775043069</v>
      </c>
      <c r="K421" s="31">
        <f t="shared" si="76"/>
        <v>0</v>
      </c>
      <c r="L421" s="31">
        <f t="shared" si="76"/>
        <v>0</v>
      </c>
      <c r="M421" s="31">
        <f t="shared" si="76"/>
        <v>0</v>
      </c>
      <c r="N421" s="31">
        <f t="shared" si="76"/>
        <v>0</v>
      </c>
      <c r="O421" s="31">
        <f t="shared" si="76"/>
        <v>0</v>
      </c>
      <c r="P421" s="31">
        <f t="shared" si="76"/>
        <v>0</v>
      </c>
      <c r="Q421" s="31">
        <f t="shared" si="76"/>
        <v>0</v>
      </c>
      <c r="R421" s="31"/>
      <c r="S421" s="11">
        <f t="shared" si="70"/>
        <v>460645.5</v>
      </c>
      <c r="T421" s="2">
        <f>Resource!L36</f>
        <v>460645.5</v>
      </c>
      <c r="U421" s="176">
        <f>Resource!M36/100</f>
        <v>0.40257278970488153</v>
      </c>
    </row>
    <row r="422" spans="1:21">
      <c r="A422" s="146">
        <v>115</v>
      </c>
      <c r="B422" s="31"/>
      <c r="C422" s="31"/>
      <c r="D422" s="31"/>
      <c r="E422" s="31">
        <f t="shared" ref="E422:Q422" si="77">IF($T487=0,0,E487*$T422/$T487)</f>
        <v>0</v>
      </c>
      <c r="F422" s="31">
        <f t="shared" si="77"/>
        <v>0</v>
      </c>
      <c r="G422" s="31">
        <f t="shared" si="77"/>
        <v>0</v>
      </c>
      <c r="H422" s="31">
        <f t="shared" si="77"/>
        <v>0</v>
      </c>
      <c r="I422" s="31">
        <f t="shared" si="77"/>
        <v>0</v>
      </c>
      <c r="J422" s="31">
        <f t="shared" si="77"/>
        <v>-1446.2761240170939</v>
      </c>
      <c r="K422" s="31">
        <f t="shared" si="77"/>
        <v>411475.77612401714</v>
      </c>
      <c r="L422" s="31">
        <f t="shared" si="77"/>
        <v>0</v>
      </c>
      <c r="M422" s="31">
        <f t="shared" si="77"/>
        <v>0</v>
      </c>
      <c r="N422" s="31">
        <f t="shared" si="77"/>
        <v>0</v>
      </c>
      <c r="O422" s="31">
        <f t="shared" si="77"/>
        <v>0</v>
      </c>
      <c r="P422" s="31">
        <f t="shared" si="77"/>
        <v>0</v>
      </c>
      <c r="Q422" s="31">
        <f t="shared" si="77"/>
        <v>0</v>
      </c>
      <c r="R422" s="31"/>
      <c r="S422" s="11">
        <f t="shared" si="70"/>
        <v>410029.50000000006</v>
      </c>
      <c r="T422" s="2">
        <f>Resource!L37</f>
        <v>410029.5</v>
      </c>
      <c r="U422" s="176">
        <f>Resource!M37/100</f>
        <v>0.39758226176409261</v>
      </c>
    </row>
    <row r="423" spans="1:21">
      <c r="A423" s="146">
        <v>110</v>
      </c>
      <c r="B423" s="31"/>
      <c r="C423" s="31"/>
      <c r="D423" s="31"/>
      <c r="E423" s="31">
        <f t="shared" ref="E423:Q423" si="78">IF($T488=0,0,E488*$T423/$T488)</f>
        <v>0</v>
      </c>
      <c r="F423" s="31">
        <f t="shared" si="78"/>
        <v>0</v>
      </c>
      <c r="G423" s="31">
        <f t="shared" si="78"/>
        <v>0</v>
      </c>
      <c r="H423" s="31">
        <f t="shared" si="78"/>
        <v>0</v>
      </c>
      <c r="I423" s="31">
        <f t="shared" si="78"/>
        <v>0</v>
      </c>
      <c r="J423" s="31">
        <f t="shared" si="78"/>
        <v>0</v>
      </c>
      <c r="K423" s="31">
        <f t="shared" si="78"/>
        <v>-114594.72327068924</v>
      </c>
      <c r="L423" s="31">
        <f t="shared" si="78"/>
        <v>476544.72327068925</v>
      </c>
      <c r="M423" s="31">
        <f t="shared" si="78"/>
        <v>0</v>
      </c>
      <c r="N423" s="31">
        <f t="shared" si="78"/>
        <v>0</v>
      </c>
      <c r="O423" s="31">
        <f t="shared" si="78"/>
        <v>0</v>
      </c>
      <c r="P423" s="31">
        <f t="shared" si="78"/>
        <v>0</v>
      </c>
      <c r="Q423" s="31">
        <f t="shared" si="78"/>
        <v>0</v>
      </c>
      <c r="R423" s="31"/>
      <c r="S423" s="11">
        <f t="shared" si="70"/>
        <v>361950</v>
      </c>
      <c r="T423" s="2">
        <f>Resource!L38</f>
        <v>361950</v>
      </c>
      <c r="U423" s="176">
        <f>Resource!M38/100</f>
        <v>0.4018393700787401</v>
      </c>
    </row>
    <row r="424" spans="1:21">
      <c r="A424" s="139">
        <v>105</v>
      </c>
      <c r="B424" s="31"/>
      <c r="C424" s="31"/>
      <c r="D424" s="31"/>
      <c r="E424" s="31">
        <f t="shared" ref="E424:Q424" si="79">IF($T489=0,0,E489*$T424/$T489)</f>
        <v>0</v>
      </c>
      <c r="F424" s="31">
        <f t="shared" si="79"/>
        <v>0</v>
      </c>
      <c r="G424" s="31">
        <f t="shared" si="79"/>
        <v>0</v>
      </c>
      <c r="H424" s="31">
        <f t="shared" si="79"/>
        <v>0</v>
      </c>
      <c r="I424" s="31">
        <f t="shared" si="79"/>
        <v>0</v>
      </c>
      <c r="J424" s="31">
        <f t="shared" si="79"/>
        <v>0</v>
      </c>
      <c r="K424" s="31">
        <f t="shared" si="79"/>
        <v>0</v>
      </c>
      <c r="L424" s="31">
        <f t="shared" si="79"/>
        <v>-186748.6653809917</v>
      </c>
      <c r="M424" s="31">
        <f t="shared" si="79"/>
        <v>503554.66538099176</v>
      </c>
      <c r="N424" s="31">
        <f t="shared" si="79"/>
        <v>0</v>
      </c>
      <c r="O424" s="31">
        <f t="shared" si="79"/>
        <v>0</v>
      </c>
      <c r="P424" s="31">
        <f t="shared" si="79"/>
        <v>0</v>
      </c>
      <c r="Q424" s="31">
        <f t="shared" si="79"/>
        <v>0</v>
      </c>
      <c r="R424" s="31"/>
      <c r="S424" s="11">
        <f t="shared" si="70"/>
        <v>316806.00000000006</v>
      </c>
      <c r="T424" s="2">
        <f>Resource!L39</f>
        <v>316806</v>
      </c>
      <c r="U424" s="176">
        <f>Resource!M39/100</f>
        <v>0.39597409139978401</v>
      </c>
    </row>
    <row r="425" spans="1:21">
      <c r="A425" s="139">
        <v>100</v>
      </c>
      <c r="B425" s="31"/>
      <c r="C425" s="31"/>
      <c r="D425" s="31"/>
      <c r="E425" s="31">
        <f t="shared" ref="E425:Q425" si="80">IF($T490=0,0,E490*$T425/$T490)</f>
        <v>0</v>
      </c>
      <c r="F425" s="31">
        <f t="shared" si="80"/>
        <v>0</v>
      </c>
      <c r="G425" s="31">
        <f t="shared" si="80"/>
        <v>0</v>
      </c>
      <c r="H425" s="31">
        <f t="shared" si="80"/>
        <v>0</v>
      </c>
      <c r="I425" s="31">
        <f t="shared" si="80"/>
        <v>0</v>
      </c>
      <c r="J425" s="31">
        <f t="shared" si="80"/>
        <v>0</v>
      </c>
      <c r="K425" s="31">
        <f t="shared" si="80"/>
        <v>0</v>
      </c>
      <c r="L425" s="31">
        <f t="shared" si="80"/>
        <v>0</v>
      </c>
      <c r="M425" s="31">
        <f t="shared" si="80"/>
        <v>-210564.65609833336</v>
      </c>
      <c r="N425" s="31">
        <f t="shared" si="80"/>
        <v>484962.65609833336</v>
      </c>
      <c r="O425" s="31">
        <f t="shared" si="80"/>
        <v>0</v>
      </c>
      <c r="P425" s="31">
        <f t="shared" si="80"/>
        <v>0</v>
      </c>
      <c r="Q425" s="31">
        <f t="shared" si="80"/>
        <v>0</v>
      </c>
      <c r="R425" s="31"/>
      <c r="S425" s="11">
        <f t="shared" si="70"/>
        <v>274398</v>
      </c>
      <c r="T425" s="2">
        <f>Resource!L40</f>
        <v>274398</v>
      </c>
      <c r="U425" s="176">
        <f>Resource!M40/100</f>
        <v>0.38870627336933944</v>
      </c>
    </row>
    <row r="426" spans="1:21">
      <c r="A426" s="139">
        <v>95</v>
      </c>
      <c r="B426" s="31"/>
      <c r="C426" s="31"/>
      <c r="D426" s="31"/>
      <c r="E426" s="31">
        <f t="shared" ref="E426:Q426" si="81">IF($T491=0,0,E491*$T426/$T491)</f>
        <v>0</v>
      </c>
      <c r="F426" s="31">
        <f t="shared" si="81"/>
        <v>0</v>
      </c>
      <c r="G426" s="31">
        <f t="shared" si="81"/>
        <v>0</v>
      </c>
      <c r="H426" s="31">
        <f t="shared" si="81"/>
        <v>0</v>
      </c>
      <c r="I426" s="31">
        <f t="shared" si="81"/>
        <v>0</v>
      </c>
      <c r="J426" s="31">
        <f t="shared" si="81"/>
        <v>0</v>
      </c>
      <c r="K426" s="31">
        <f t="shared" si="81"/>
        <v>0</v>
      </c>
      <c r="L426" s="31">
        <f t="shared" si="81"/>
        <v>0</v>
      </c>
      <c r="M426" s="31">
        <f t="shared" si="81"/>
        <v>0</v>
      </c>
      <c r="N426" s="31">
        <f t="shared" si="81"/>
        <v>-184409.45069131648</v>
      </c>
      <c r="O426" s="31">
        <f t="shared" si="81"/>
        <v>419068.95069131651</v>
      </c>
      <c r="P426" s="31">
        <f t="shared" si="81"/>
        <v>0</v>
      </c>
      <c r="Q426" s="31">
        <f t="shared" si="81"/>
        <v>0</v>
      </c>
      <c r="R426" s="31"/>
      <c r="S426" s="11">
        <f t="shared" si="70"/>
        <v>234659.50000000003</v>
      </c>
      <c r="T426" s="2">
        <f>Resource!L41</f>
        <v>234659.5</v>
      </c>
      <c r="U426" s="176">
        <f>Resource!M41/100</f>
        <v>0.38480255860086637</v>
      </c>
    </row>
    <row r="427" spans="1:21">
      <c r="A427" s="139">
        <v>90</v>
      </c>
      <c r="B427" s="31"/>
      <c r="C427" s="31"/>
      <c r="D427" s="31"/>
      <c r="E427" s="31">
        <f t="shared" ref="E427:Q427" si="82">IF($T492=0,0,E492*$T427/$T492)</f>
        <v>0</v>
      </c>
      <c r="F427" s="31">
        <f t="shared" si="82"/>
        <v>0</v>
      </c>
      <c r="G427" s="31">
        <f t="shared" si="82"/>
        <v>0</v>
      </c>
      <c r="H427" s="31">
        <f t="shared" si="82"/>
        <v>0</v>
      </c>
      <c r="I427" s="31">
        <f t="shared" si="82"/>
        <v>0</v>
      </c>
      <c r="J427" s="31">
        <f t="shared" si="82"/>
        <v>0</v>
      </c>
      <c r="K427" s="31">
        <f t="shared" si="82"/>
        <v>0</v>
      </c>
      <c r="L427" s="31">
        <f t="shared" si="82"/>
        <v>0</v>
      </c>
      <c r="M427" s="31">
        <f t="shared" si="82"/>
        <v>0</v>
      </c>
      <c r="N427" s="31">
        <f t="shared" si="82"/>
        <v>0</v>
      </c>
      <c r="O427" s="31">
        <f t="shared" si="82"/>
        <v>197590.5</v>
      </c>
      <c r="P427" s="31">
        <f t="shared" si="82"/>
        <v>0</v>
      </c>
      <c r="Q427" s="31">
        <f t="shared" si="82"/>
        <v>0</v>
      </c>
      <c r="R427" s="31"/>
      <c r="S427" s="11">
        <f t="shared" si="70"/>
        <v>197590.5</v>
      </c>
      <c r="T427" s="2">
        <f>Resource!L42</f>
        <v>197590.5</v>
      </c>
      <c r="U427" s="176">
        <f>Resource!M42/100</f>
        <v>0.38645088706187791</v>
      </c>
    </row>
    <row r="428" spans="1:21">
      <c r="A428" s="139">
        <v>85</v>
      </c>
      <c r="B428" s="31"/>
      <c r="C428" s="31"/>
      <c r="D428" s="31"/>
      <c r="E428" s="31">
        <f t="shared" ref="E428:Q428" si="83">IF($T493=0,0,E493*$T428/$T493)</f>
        <v>0</v>
      </c>
      <c r="F428" s="31">
        <f t="shared" si="83"/>
        <v>0</v>
      </c>
      <c r="G428" s="31">
        <f t="shared" si="83"/>
        <v>0</v>
      </c>
      <c r="H428" s="31">
        <f t="shared" si="83"/>
        <v>0</v>
      </c>
      <c r="I428" s="31">
        <f t="shared" si="83"/>
        <v>0</v>
      </c>
      <c r="J428" s="31">
        <f t="shared" si="83"/>
        <v>0</v>
      </c>
      <c r="K428" s="31">
        <f t="shared" si="83"/>
        <v>0</v>
      </c>
      <c r="L428" s="31">
        <f t="shared" si="83"/>
        <v>0</v>
      </c>
      <c r="M428" s="31">
        <f t="shared" si="83"/>
        <v>0</v>
      </c>
      <c r="N428" s="31">
        <f t="shared" si="83"/>
        <v>0</v>
      </c>
      <c r="O428" s="31">
        <f t="shared" si="83"/>
        <v>-308057.83273412014</v>
      </c>
      <c r="P428" s="31">
        <f t="shared" si="83"/>
        <v>471315.33273412014</v>
      </c>
      <c r="Q428" s="31">
        <f t="shared" si="83"/>
        <v>0</v>
      </c>
      <c r="R428" s="31"/>
      <c r="S428" s="11">
        <f t="shared" si="70"/>
        <v>163257.5</v>
      </c>
      <c r="T428" s="2">
        <f>Resource!L43</f>
        <v>163257.5</v>
      </c>
      <c r="U428" s="176">
        <f>Resource!M43/100</f>
        <v>0.38976782077393074</v>
      </c>
    </row>
    <row r="429" spans="1:21">
      <c r="A429" s="141">
        <v>80</v>
      </c>
      <c r="B429" s="31"/>
      <c r="C429" s="31"/>
      <c r="D429" s="31"/>
      <c r="E429" s="31">
        <f t="shared" ref="E429:Q429" si="84">IF($T494=0,0,E494*$T429/$T494)</f>
        <v>0</v>
      </c>
      <c r="F429" s="31">
        <f t="shared" si="84"/>
        <v>0</v>
      </c>
      <c r="G429" s="31">
        <f t="shared" si="84"/>
        <v>0</v>
      </c>
      <c r="H429" s="31">
        <f t="shared" si="84"/>
        <v>0</v>
      </c>
      <c r="I429" s="31">
        <f t="shared" si="84"/>
        <v>0</v>
      </c>
      <c r="J429" s="31">
        <f t="shared" si="84"/>
        <v>0</v>
      </c>
      <c r="K429" s="31">
        <f t="shared" si="84"/>
        <v>0</v>
      </c>
      <c r="L429" s="31">
        <f t="shared" si="84"/>
        <v>0</v>
      </c>
      <c r="M429" s="31">
        <f t="shared" si="84"/>
        <v>0</v>
      </c>
      <c r="N429" s="31">
        <f t="shared" si="84"/>
        <v>0</v>
      </c>
      <c r="O429" s="31">
        <f t="shared" si="84"/>
        <v>0</v>
      </c>
      <c r="P429" s="31">
        <f t="shared" si="84"/>
        <v>131660.5</v>
      </c>
      <c r="Q429" s="31">
        <f t="shared" si="84"/>
        <v>0</v>
      </c>
      <c r="R429" s="31"/>
      <c r="S429" s="11">
        <f t="shared" si="70"/>
        <v>131660.5</v>
      </c>
      <c r="T429" s="2">
        <f>Resource!L44</f>
        <v>131660.5</v>
      </c>
      <c r="U429" s="176">
        <f>Resource!M44/100</f>
        <v>0.39585193736921853</v>
      </c>
    </row>
    <row r="430" spans="1:21">
      <c r="A430" s="141">
        <v>75</v>
      </c>
      <c r="B430" s="31"/>
      <c r="C430" s="31"/>
      <c r="D430" s="31"/>
      <c r="E430" s="31">
        <f t="shared" ref="E430:Q430" si="85">IF($T495=0,0,E495*$T430/$T495)</f>
        <v>0</v>
      </c>
      <c r="F430" s="31">
        <f t="shared" si="85"/>
        <v>0</v>
      </c>
      <c r="G430" s="31">
        <f t="shared" si="85"/>
        <v>0</v>
      </c>
      <c r="H430" s="31">
        <f t="shared" si="85"/>
        <v>0</v>
      </c>
      <c r="I430" s="31">
        <f t="shared" si="85"/>
        <v>0</v>
      </c>
      <c r="J430" s="31">
        <f t="shared" si="85"/>
        <v>0</v>
      </c>
      <c r="K430" s="31">
        <f t="shared" si="85"/>
        <v>0</v>
      </c>
      <c r="L430" s="31">
        <f t="shared" si="85"/>
        <v>0</v>
      </c>
      <c r="M430" s="31">
        <f t="shared" si="85"/>
        <v>0</v>
      </c>
      <c r="N430" s="31">
        <f t="shared" si="85"/>
        <v>0</v>
      </c>
      <c r="O430" s="31">
        <f t="shared" si="85"/>
        <v>0</v>
      </c>
      <c r="P430" s="31">
        <f t="shared" si="85"/>
        <v>-290766.49972169095</v>
      </c>
      <c r="Q430" s="31">
        <f t="shared" si="85"/>
        <v>393565.9997216909</v>
      </c>
      <c r="R430" s="31"/>
      <c r="S430" s="11">
        <f t="shared" si="70"/>
        <v>102799.49999999994</v>
      </c>
      <c r="T430" s="2">
        <f>Resource!L45</f>
        <v>102799.5</v>
      </c>
      <c r="U430" s="176">
        <f>Resource!M45/100</f>
        <v>0.40676906016079839</v>
      </c>
    </row>
    <row r="431" spans="1:21">
      <c r="A431" s="141">
        <v>70</v>
      </c>
      <c r="B431" s="31"/>
      <c r="C431" s="31"/>
      <c r="D431" s="31"/>
      <c r="E431" s="31">
        <f t="shared" ref="E431:Q431" si="86">IF($T496=0,0,E496*$T431/$T496)</f>
        <v>0</v>
      </c>
      <c r="F431" s="31">
        <f t="shared" si="86"/>
        <v>0</v>
      </c>
      <c r="G431" s="31">
        <f t="shared" si="86"/>
        <v>0</v>
      </c>
      <c r="H431" s="31">
        <f t="shared" si="86"/>
        <v>0</v>
      </c>
      <c r="I431" s="31">
        <f t="shared" si="86"/>
        <v>0</v>
      </c>
      <c r="J431" s="31">
        <f t="shared" si="86"/>
        <v>0</v>
      </c>
      <c r="K431" s="31">
        <f t="shared" si="86"/>
        <v>0</v>
      </c>
      <c r="L431" s="31">
        <f t="shared" si="86"/>
        <v>0</v>
      </c>
      <c r="M431" s="31">
        <f t="shared" si="86"/>
        <v>0</v>
      </c>
      <c r="N431" s="31">
        <f t="shared" si="86"/>
        <v>0</v>
      </c>
      <c r="O431" s="31">
        <f t="shared" si="86"/>
        <v>0</v>
      </c>
      <c r="P431" s="31">
        <f t="shared" si="86"/>
        <v>0</v>
      </c>
      <c r="Q431" s="31">
        <f t="shared" si="86"/>
        <v>76741</v>
      </c>
      <c r="R431" s="31"/>
      <c r="S431" s="11">
        <f t="shared" si="70"/>
        <v>76741</v>
      </c>
      <c r="T431" s="2">
        <f>Resource!L46</f>
        <v>76741</v>
      </c>
      <c r="U431" s="176">
        <f>Resource!M46/100</f>
        <v>0.41064421886605595</v>
      </c>
    </row>
    <row r="432" spans="1:21">
      <c r="A432" s="141">
        <v>65</v>
      </c>
      <c r="B432" s="31"/>
      <c r="C432" s="31"/>
      <c r="D432" s="31"/>
      <c r="E432" s="31">
        <f t="shared" ref="E432:Q432" si="87">IF($T497=0,0,E497*$T432/$T497)</f>
        <v>0</v>
      </c>
      <c r="F432" s="31">
        <f t="shared" si="87"/>
        <v>0</v>
      </c>
      <c r="G432" s="31">
        <f t="shared" si="87"/>
        <v>0</v>
      </c>
      <c r="H432" s="31">
        <f t="shared" si="87"/>
        <v>0</v>
      </c>
      <c r="I432" s="31">
        <f t="shared" si="87"/>
        <v>0</v>
      </c>
      <c r="J432" s="31">
        <f t="shared" si="87"/>
        <v>0</v>
      </c>
      <c r="K432" s="31">
        <f t="shared" si="87"/>
        <v>0</v>
      </c>
      <c r="L432" s="31">
        <f t="shared" si="87"/>
        <v>0</v>
      </c>
      <c r="M432" s="31">
        <f t="shared" si="87"/>
        <v>0</v>
      </c>
      <c r="N432" s="31">
        <f t="shared" si="87"/>
        <v>0</v>
      </c>
      <c r="O432" s="31">
        <f t="shared" si="87"/>
        <v>0</v>
      </c>
      <c r="P432" s="31">
        <f t="shared" si="87"/>
        <v>0</v>
      </c>
      <c r="Q432" s="31">
        <f t="shared" si="87"/>
        <v>0</v>
      </c>
      <c r="R432" s="31"/>
      <c r="S432" s="11">
        <f t="shared" si="70"/>
        <v>0</v>
      </c>
      <c r="T432" s="2">
        <f>Resource!L47</f>
        <v>0</v>
      </c>
      <c r="U432" s="176">
        <f>Resource!M47/100</f>
        <v>0</v>
      </c>
    </row>
    <row r="433" spans="1:21">
      <c r="A433" s="141">
        <v>60</v>
      </c>
      <c r="B433" s="31"/>
      <c r="C433" s="31"/>
      <c r="D433" s="31"/>
      <c r="E433" s="31">
        <f t="shared" ref="E433:Q433" si="88">IF($T498=0,0,E498*$T433/$T498)</f>
        <v>0</v>
      </c>
      <c r="F433" s="31">
        <f t="shared" si="88"/>
        <v>0</v>
      </c>
      <c r="G433" s="31">
        <f t="shared" si="88"/>
        <v>0</v>
      </c>
      <c r="H433" s="31">
        <f t="shared" si="88"/>
        <v>0</v>
      </c>
      <c r="I433" s="31">
        <f t="shared" si="88"/>
        <v>0</v>
      </c>
      <c r="J433" s="31">
        <f t="shared" si="88"/>
        <v>0</v>
      </c>
      <c r="K433" s="31">
        <f t="shared" si="88"/>
        <v>0</v>
      </c>
      <c r="L433" s="31">
        <f t="shared" si="88"/>
        <v>0</v>
      </c>
      <c r="M433" s="31">
        <f t="shared" si="88"/>
        <v>0</v>
      </c>
      <c r="N433" s="31">
        <f t="shared" si="88"/>
        <v>0</v>
      </c>
      <c r="O433" s="31">
        <f t="shared" si="88"/>
        <v>0</v>
      </c>
      <c r="P433" s="31">
        <f t="shared" si="88"/>
        <v>0</v>
      </c>
      <c r="Q433" s="31">
        <f t="shared" si="88"/>
        <v>0</v>
      </c>
      <c r="R433" s="31"/>
      <c r="S433" s="11">
        <f t="shared" si="70"/>
        <v>0</v>
      </c>
      <c r="T433" s="2">
        <f>Resource!L48</f>
        <v>0</v>
      </c>
      <c r="U433" s="176">
        <f>Resource!M48/100</f>
        <v>0</v>
      </c>
    </row>
    <row r="434" spans="1:21">
      <c r="A434" s="146">
        <v>55</v>
      </c>
      <c r="B434" s="31"/>
      <c r="C434" s="31"/>
      <c r="D434" s="31"/>
      <c r="E434" s="31">
        <f t="shared" ref="E434:Q434" si="89">IF($T499=0,0,E499*$T434/$T499)</f>
        <v>0</v>
      </c>
      <c r="F434" s="31">
        <f t="shared" si="89"/>
        <v>0</v>
      </c>
      <c r="G434" s="31">
        <f t="shared" si="89"/>
        <v>0</v>
      </c>
      <c r="H434" s="31">
        <f t="shared" si="89"/>
        <v>0</v>
      </c>
      <c r="I434" s="31">
        <f t="shared" si="89"/>
        <v>0</v>
      </c>
      <c r="J434" s="31">
        <f t="shared" si="89"/>
        <v>0</v>
      </c>
      <c r="K434" s="31">
        <f t="shared" si="89"/>
        <v>0</v>
      </c>
      <c r="L434" s="31">
        <f t="shared" si="89"/>
        <v>0</v>
      </c>
      <c r="M434" s="31">
        <f t="shared" si="89"/>
        <v>0</v>
      </c>
      <c r="N434" s="31">
        <f t="shared" si="89"/>
        <v>0</v>
      </c>
      <c r="O434" s="31">
        <f t="shared" si="89"/>
        <v>0</v>
      </c>
      <c r="P434" s="31">
        <f t="shared" si="89"/>
        <v>0</v>
      </c>
      <c r="Q434" s="31">
        <f t="shared" si="89"/>
        <v>0</v>
      </c>
      <c r="R434" s="31"/>
      <c r="S434" s="11">
        <f t="shared" si="70"/>
        <v>0</v>
      </c>
      <c r="T434" s="2">
        <f>Resource!L49</f>
        <v>0</v>
      </c>
      <c r="U434" s="176">
        <f>Resource!M49/100</f>
        <v>0</v>
      </c>
    </row>
    <row r="435" spans="1:21">
      <c r="A435" s="146">
        <v>50</v>
      </c>
      <c r="B435" s="31"/>
      <c r="C435" s="31"/>
      <c r="D435" s="31"/>
      <c r="E435" s="31">
        <f t="shared" ref="E435:Q435" si="90">IF($T500=0,0,E500*$T435/$T500)</f>
        <v>0</v>
      </c>
      <c r="F435" s="31">
        <f t="shared" si="90"/>
        <v>0</v>
      </c>
      <c r="G435" s="31">
        <f t="shared" si="90"/>
        <v>0</v>
      </c>
      <c r="H435" s="31">
        <f t="shared" si="90"/>
        <v>0</v>
      </c>
      <c r="I435" s="31">
        <f t="shared" si="90"/>
        <v>0</v>
      </c>
      <c r="J435" s="31">
        <f t="shared" si="90"/>
        <v>0</v>
      </c>
      <c r="K435" s="31">
        <f t="shared" si="90"/>
        <v>0</v>
      </c>
      <c r="L435" s="31">
        <f t="shared" si="90"/>
        <v>0</v>
      </c>
      <c r="M435" s="31">
        <f t="shared" si="90"/>
        <v>0</v>
      </c>
      <c r="N435" s="31">
        <f t="shared" si="90"/>
        <v>0</v>
      </c>
      <c r="O435" s="31">
        <f t="shared" si="90"/>
        <v>0</v>
      </c>
      <c r="P435" s="31">
        <f t="shared" si="90"/>
        <v>0</v>
      </c>
      <c r="Q435" s="31">
        <f t="shared" si="90"/>
        <v>0</v>
      </c>
      <c r="R435" s="31"/>
      <c r="S435" s="11">
        <f t="shared" si="70"/>
        <v>0</v>
      </c>
      <c r="T435" s="2">
        <f>Resource!L50</f>
        <v>0</v>
      </c>
      <c r="U435" s="176">
        <f>Resource!M50/100</f>
        <v>0</v>
      </c>
    </row>
    <row r="436" spans="1:21">
      <c r="A436" s="146">
        <v>45</v>
      </c>
      <c r="B436" s="31"/>
      <c r="C436" s="31"/>
      <c r="D436" s="31"/>
      <c r="E436" s="31">
        <f t="shared" ref="E436:Q436" si="91">IF($T501=0,0,E501*$T436/$T501)</f>
        <v>0</v>
      </c>
      <c r="F436" s="31">
        <f t="shared" si="91"/>
        <v>0</v>
      </c>
      <c r="G436" s="31">
        <f t="shared" si="91"/>
        <v>0</v>
      </c>
      <c r="H436" s="31">
        <f t="shared" si="91"/>
        <v>0</v>
      </c>
      <c r="I436" s="31">
        <f t="shared" si="91"/>
        <v>0</v>
      </c>
      <c r="J436" s="31">
        <f t="shared" si="91"/>
        <v>0</v>
      </c>
      <c r="K436" s="31">
        <f t="shared" si="91"/>
        <v>0</v>
      </c>
      <c r="L436" s="31">
        <f t="shared" si="91"/>
        <v>0</v>
      </c>
      <c r="M436" s="31">
        <f t="shared" si="91"/>
        <v>0</v>
      </c>
      <c r="N436" s="31">
        <f t="shared" si="91"/>
        <v>0</v>
      </c>
      <c r="O436" s="31">
        <f t="shared" si="91"/>
        <v>0</v>
      </c>
      <c r="P436" s="31">
        <f t="shared" si="91"/>
        <v>0</v>
      </c>
      <c r="Q436" s="31">
        <f t="shared" si="91"/>
        <v>0</v>
      </c>
      <c r="R436" s="31"/>
      <c r="S436" s="11">
        <f t="shared" si="70"/>
        <v>0</v>
      </c>
      <c r="T436" s="2">
        <f>Resource!L51</f>
        <v>0</v>
      </c>
      <c r="U436" s="176">
        <f>Resource!M51/100</f>
        <v>0</v>
      </c>
    </row>
    <row r="437" spans="1:21">
      <c r="A437" s="146">
        <v>40</v>
      </c>
      <c r="B437" s="31"/>
      <c r="C437" s="31"/>
      <c r="D437" s="31"/>
      <c r="E437" s="31">
        <f t="shared" ref="E437:Q437" si="92">IF($T502=0,0,E502*$T437/$T502)</f>
        <v>0</v>
      </c>
      <c r="F437" s="31">
        <f t="shared" si="92"/>
        <v>0</v>
      </c>
      <c r="G437" s="31">
        <f t="shared" si="92"/>
        <v>0</v>
      </c>
      <c r="H437" s="31">
        <f t="shared" si="92"/>
        <v>0</v>
      </c>
      <c r="I437" s="31">
        <f t="shared" si="92"/>
        <v>0</v>
      </c>
      <c r="J437" s="31">
        <f t="shared" si="92"/>
        <v>0</v>
      </c>
      <c r="K437" s="31">
        <f t="shared" si="92"/>
        <v>0</v>
      </c>
      <c r="L437" s="31">
        <f t="shared" si="92"/>
        <v>0</v>
      </c>
      <c r="M437" s="31">
        <f t="shared" si="92"/>
        <v>0</v>
      </c>
      <c r="N437" s="31">
        <f t="shared" si="92"/>
        <v>0</v>
      </c>
      <c r="O437" s="31">
        <f t="shared" si="92"/>
        <v>0</v>
      </c>
      <c r="P437" s="31">
        <f t="shared" si="92"/>
        <v>0</v>
      </c>
      <c r="Q437" s="31">
        <f t="shared" si="92"/>
        <v>0</v>
      </c>
      <c r="R437" s="31"/>
      <c r="S437" s="11">
        <f t="shared" si="70"/>
        <v>0</v>
      </c>
      <c r="T437" s="2">
        <f>Resource!L52</f>
        <v>0</v>
      </c>
      <c r="U437" s="176">
        <f>Resource!M52/100</f>
        <v>0</v>
      </c>
    </row>
    <row r="438" spans="1:21">
      <c r="A438" s="146">
        <v>35</v>
      </c>
      <c r="B438" s="31"/>
      <c r="C438" s="31"/>
      <c r="D438" s="31"/>
      <c r="E438" s="31">
        <f t="shared" ref="E438:Q438" si="93">IF($T503=0,0,E503*$T438/$T503)</f>
        <v>0</v>
      </c>
      <c r="F438" s="31">
        <f t="shared" si="93"/>
        <v>0</v>
      </c>
      <c r="G438" s="31">
        <f t="shared" si="93"/>
        <v>0</v>
      </c>
      <c r="H438" s="31">
        <f t="shared" si="93"/>
        <v>0</v>
      </c>
      <c r="I438" s="31">
        <f t="shared" si="93"/>
        <v>0</v>
      </c>
      <c r="J438" s="31">
        <f t="shared" si="93"/>
        <v>0</v>
      </c>
      <c r="K438" s="31">
        <f t="shared" si="93"/>
        <v>0</v>
      </c>
      <c r="L438" s="31">
        <f t="shared" si="93"/>
        <v>0</v>
      </c>
      <c r="M438" s="31">
        <f t="shared" si="93"/>
        <v>0</v>
      </c>
      <c r="N438" s="31">
        <f t="shared" si="93"/>
        <v>0</v>
      </c>
      <c r="O438" s="31">
        <f t="shared" si="93"/>
        <v>0</v>
      </c>
      <c r="P438" s="31">
        <f t="shared" si="93"/>
        <v>0</v>
      </c>
      <c r="Q438" s="31">
        <f t="shared" si="93"/>
        <v>0</v>
      </c>
      <c r="R438" s="31"/>
      <c r="S438" s="11">
        <f t="shared" si="70"/>
        <v>0</v>
      </c>
      <c r="T438" s="2">
        <f>Resource!L53</f>
        <v>0</v>
      </c>
      <c r="U438" s="176">
        <f>Resource!M53/100</f>
        <v>0</v>
      </c>
    </row>
    <row r="439" spans="1:21">
      <c r="A439" s="146">
        <v>30</v>
      </c>
      <c r="B439" s="31"/>
      <c r="C439" s="31"/>
      <c r="D439" s="31"/>
      <c r="E439" s="31">
        <f t="shared" ref="E439:Q439" si="94">IF($T504=0,0,E504*$T439/$T504)</f>
        <v>0</v>
      </c>
      <c r="F439" s="31">
        <f t="shared" si="94"/>
        <v>0</v>
      </c>
      <c r="G439" s="31">
        <f t="shared" si="94"/>
        <v>0</v>
      </c>
      <c r="H439" s="31">
        <f t="shared" si="94"/>
        <v>0</v>
      </c>
      <c r="I439" s="31">
        <f t="shared" si="94"/>
        <v>0</v>
      </c>
      <c r="J439" s="31">
        <f t="shared" si="94"/>
        <v>0</v>
      </c>
      <c r="K439" s="31">
        <f t="shared" si="94"/>
        <v>0</v>
      </c>
      <c r="L439" s="31">
        <f t="shared" si="94"/>
        <v>0</v>
      </c>
      <c r="M439" s="31">
        <f t="shared" si="94"/>
        <v>0</v>
      </c>
      <c r="N439" s="31">
        <f t="shared" si="94"/>
        <v>0</v>
      </c>
      <c r="O439" s="31">
        <f t="shared" si="94"/>
        <v>0</v>
      </c>
      <c r="P439" s="31">
        <f t="shared" si="94"/>
        <v>0</v>
      </c>
      <c r="Q439" s="31">
        <f t="shared" si="94"/>
        <v>0</v>
      </c>
      <c r="R439" s="31"/>
      <c r="S439" s="11">
        <f t="shared" si="70"/>
        <v>0</v>
      </c>
      <c r="T439" s="2">
        <f>Resource!L54</f>
        <v>0</v>
      </c>
      <c r="U439" s="176">
        <f>Resource!M54/100</f>
        <v>0</v>
      </c>
    </row>
    <row r="440" spans="1:21">
      <c r="A440" s="146">
        <v>25</v>
      </c>
      <c r="B440" s="31"/>
      <c r="C440" s="31"/>
      <c r="D440" s="31"/>
      <c r="E440" s="31">
        <f t="shared" ref="E440:Q440" si="95">IF($T505=0,0,E505*$T440/$T505)</f>
        <v>0</v>
      </c>
      <c r="F440" s="31">
        <f t="shared" si="95"/>
        <v>0</v>
      </c>
      <c r="G440" s="31">
        <f t="shared" si="95"/>
        <v>0</v>
      </c>
      <c r="H440" s="31">
        <f t="shared" si="95"/>
        <v>0</v>
      </c>
      <c r="I440" s="31">
        <f t="shared" si="95"/>
        <v>0</v>
      </c>
      <c r="J440" s="31">
        <f t="shared" si="95"/>
        <v>0</v>
      </c>
      <c r="K440" s="31">
        <f t="shared" si="95"/>
        <v>0</v>
      </c>
      <c r="L440" s="31">
        <f t="shared" si="95"/>
        <v>0</v>
      </c>
      <c r="M440" s="31">
        <f t="shared" si="95"/>
        <v>0</v>
      </c>
      <c r="N440" s="31">
        <f t="shared" si="95"/>
        <v>0</v>
      </c>
      <c r="O440" s="31">
        <f t="shared" si="95"/>
        <v>0</v>
      </c>
      <c r="P440" s="31">
        <f t="shared" si="95"/>
        <v>0</v>
      </c>
      <c r="Q440" s="31">
        <f t="shared" si="95"/>
        <v>0</v>
      </c>
      <c r="R440" s="31"/>
      <c r="S440" s="11">
        <f t="shared" si="70"/>
        <v>0</v>
      </c>
      <c r="T440" s="2">
        <f>Resource!L55</f>
        <v>0</v>
      </c>
      <c r="U440" s="176">
        <f>Resource!M55/100</f>
        <v>0</v>
      </c>
    </row>
    <row r="441" spans="1:21">
      <c r="A441" s="146">
        <v>20</v>
      </c>
      <c r="B441" s="31"/>
      <c r="C441" s="31"/>
      <c r="D441" s="31"/>
      <c r="E441" s="31">
        <f t="shared" ref="E441:Q441" si="96">IF($T506=0,0,E506*$T441/$T506)</f>
        <v>0</v>
      </c>
      <c r="F441" s="31">
        <f t="shared" si="96"/>
        <v>0</v>
      </c>
      <c r="G441" s="31">
        <f t="shared" si="96"/>
        <v>0</v>
      </c>
      <c r="H441" s="31">
        <f t="shared" si="96"/>
        <v>0</v>
      </c>
      <c r="I441" s="31">
        <f t="shared" si="96"/>
        <v>0</v>
      </c>
      <c r="J441" s="31">
        <f t="shared" si="96"/>
        <v>0</v>
      </c>
      <c r="K441" s="31">
        <f t="shared" si="96"/>
        <v>0</v>
      </c>
      <c r="L441" s="31">
        <f t="shared" si="96"/>
        <v>0</v>
      </c>
      <c r="M441" s="31">
        <f t="shared" si="96"/>
        <v>0</v>
      </c>
      <c r="N441" s="31">
        <f t="shared" si="96"/>
        <v>0</v>
      </c>
      <c r="O441" s="31">
        <f t="shared" si="96"/>
        <v>0</v>
      </c>
      <c r="P441" s="31">
        <f t="shared" si="96"/>
        <v>0</v>
      </c>
      <c r="Q441" s="31">
        <f t="shared" si="96"/>
        <v>0</v>
      </c>
      <c r="R441" s="31"/>
      <c r="S441" s="11">
        <f t="shared" si="70"/>
        <v>0</v>
      </c>
      <c r="T441" s="2">
        <f>Resource!L56</f>
        <v>0</v>
      </c>
      <c r="U441" s="176">
        <f>Resource!M56/100</f>
        <v>0</v>
      </c>
    </row>
    <row r="442" spans="1:21">
      <c r="A442" s="146">
        <v>15</v>
      </c>
      <c r="B442" s="31"/>
      <c r="C442" s="31"/>
      <c r="D442" s="31"/>
      <c r="E442" s="31">
        <f t="shared" ref="E442:Q442" si="97">IF($T507=0,0,E507*$T442/$T507)</f>
        <v>0</v>
      </c>
      <c r="F442" s="31">
        <f t="shared" si="97"/>
        <v>0</v>
      </c>
      <c r="G442" s="31">
        <f t="shared" si="97"/>
        <v>0</v>
      </c>
      <c r="H442" s="31">
        <f t="shared" si="97"/>
        <v>0</v>
      </c>
      <c r="I442" s="31">
        <f t="shared" si="97"/>
        <v>0</v>
      </c>
      <c r="J442" s="31">
        <f t="shared" si="97"/>
        <v>0</v>
      </c>
      <c r="K442" s="31">
        <f t="shared" si="97"/>
        <v>0</v>
      </c>
      <c r="L442" s="31">
        <f t="shared" si="97"/>
        <v>0</v>
      </c>
      <c r="M442" s="31">
        <f t="shared" si="97"/>
        <v>0</v>
      </c>
      <c r="N442" s="31">
        <f t="shared" si="97"/>
        <v>0</v>
      </c>
      <c r="O442" s="31">
        <f t="shared" si="97"/>
        <v>0</v>
      </c>
      <c r="P442" s="31">
        <f t="shared" si="97"/>
        <v>0</v>
      </c>
      <c r="Q442" s="31">
        <f t="shared" si="97"/>
        <v>0</v>
      </c>
      <c r="R442" s="31"/>
      <c r="S442" s="11">
        <f t="shared" si="70"/>
        <v>0</v>
      </c>
      <c r="T442" s="2">
        <f>Resource!L57</f>
        <v>0</v>
      </c>
      <c r="U442" s="176">
        <f>Resource!M57/100</f>
        <v>0</v>
      </c>
    </row>
    <row r="443" spans="1:21">
      <c r="A443" s="146">
        <v>10</v>
      </c>
      <c r="B443" s="31"/>
      <c r="C443" s="31"/>
      <c r="D443" s="31"/>
      <c r="E443" s="31">
        <f t="shared" ref="E443:Q443" si="98">IF($T508=0,0,E508*$T443/$T508)</f>
        <v>0</v>
      </c>
      <c r="F443" s="31">
        <f t="shared" si="98"/>
        <v>0</v>
      </c>
      <c r="G443" s="31">
        <f t="shared" si="98"/>
        <v>0</v>
      </c>
      <c r="H443" s="31">
        <f t="shared" si="98"/>
        <v>0</v>
      </c>
      <c r="I443" s="31">
        <f t="shared" si="98"/>
        <v>0</v>
      </c>
      <c r="J443" s="31">
        <f t="shared" si="98"/>
        <v>0</v>
      </c>
      <c r="K443" s="31">
        <f t="shared" si="98"/>
        <v>0</v>
      </c>
      <c r="L443" s="31">
        <f t="shared" si="98"/>
        <v>0</v>
      </c>
      <c r="M443" s="31">
        <f t="shared" si="98"/>
        <v>0</v>
      </c>
      <c r="N443" s="31">
        <f t="shared" si="98"/>
        <v>0</v>
      </c>
      <c r="O443" s="31">
        <f t="shared" si="98"/>
        <v>0</v>
      </c>
      <c r="P443" s="31">
        <f t="shared" si="98"/>
        <v>0</v>
      </c>
      <c r="Q443" s="31">
        <f t="shared" si="98"/>
        <v>0</v>
      </c>
      <c r="R443" s="31"/>
      <c r="S443" s="11">
        <f t="shared" si="70"/>
        <v>0</v>
      </c>
      <c r="T443" s="2">
        <f>Resource!L58</f>
        <v>0</v>
      </c>
      <c r="U443" s="176">
        <f>Resource!M58/100</f>
        <v>0</v>
      </c>
    </row>
    <row r="444" spans="1:21">
      <c r="A444" s="146">
        <v>5</v>
      </c>
      <c r="B444" s="31"/>
      <c r="C444" s="31"/>
      <c r="D444" s="31"/>
      <c r="E444" s="31">
        <f t="shared" ref="E444:Q444" si="99">IF($T509=0,0,E509*$T444/$T509)</f>
        <v>0</v>
      </c>
      <c r="F444" s="31">
        <f t="shared" si="99"/>
        <v>0</v>
      </c>
      <c r="G444" s="31">
        <f t="shared" si="99"/>
        <v>0</v>
      </c>
      <c r="H444" s="31">
        <f t="shared" si="99"/>
        <v>0</v>
      </c>
      <c r="I444" s="31">
        <f t="shared" si="99"/>
        <v>0</v>
      </c>
      <c r="J444" s="31">
        <f t="shared" si="99"/>
        <v>0</v>
      </c>
      <c r="K444" s="31">
        <f t="shared" si="99"/>
        <v>0</v>
      </c>
      <c r="L444" s="31">
        <f t="shared" si="99"/>
        <v>0</v>
      </c>
      <c r="M444" s="31">
        <f t="shared" si="99"/>
        <v>0</v>
      </c>
      <c r="N444" s="31">
        <f t="shared" si="99"/>
        <v>0</v>
      </c>
      <c r="O444" s="31">
        <f t="shared" si="99"/>
        <v>0</v>
      </c>
      <c r="P444" s="31">
        <f t="shared" si="99"/>
        <v>0</v>
      </c>
      <c r="Q444" s="31">
        <f t="shared" si="99"/>
        <v>0</v>
      </c>
      <c r="R444" s="31"/>
      <c r="S444" s="11">
        <f t="shared" si="70"/>
        <v>0</v>
      </c>
      <c r="T444" s="2">
        <f>Resource!L59</f>
        <v>0</v>
      </c>
      <c r="U444" s="176">
        <f>Resource!M59/100</f>
        <v>0</v>
      </c>
    </row>
    <row r="445" spans="1:21">
      <c r="A445" s="146">
        <v>0</v>
      </c>
      <c r="B445" s="31"/>
      <c r="C445" s="31"/>
      <c r="D445" s="31"/>
      <c r="E445" s="31">
        <f t="shared" ref="E445:Q445" si="100">IF($T510=0,0,E510*$T445/$T510)</f>
        <v>0</v>
      </c>
      <c r="F445" s="31">
        <f t="shared" si="100"/>
        <v>0</v>
      </c>
      <c r="G445" s="31">
        <f t="shared" si="100"/>
        <v>0</v>
      </c>
      <c r="H445" s="31">
        <f t="shared" si="100"/>
        <v>0</v>
      </c>
      <c r="I445" s="31">
        <f t="shared" si="100"/>
        <v>0</v>
      </c>
      <c r="J445" s="31">
        <f t="shared" si="100"/>
        <v>0</v>
      </c>
      <c r="K445" s="31">
        <f t="shared" si="100"/>
        <v>0</v>
      </c>
      <c r="L445" s="31">
        <f t="shared" si="100"/>
        <v>0</v>
      </c>
      <c r="M445" s="31">
        <f t="shared" si="100"/>
        <v>0</v>
      </c>
      <c r="N445" s="31">
        <f t="shared" si="100"/>
        <v>0</v>
      </c>
      <c r="O445" s="31">
        <f t="shared" si="100"/>
        <v>0</v>
      </c>
      <c r="P445" s="31">
        <f t="shared" si="100"/>
        <v>0</v>
      </c>
      <c r="Q445" s="31">
        <f t="shared" si="100"/>
        <v>0</v>
      </c>
      <c r="R445" s="31"/>
      <c r="S445" s="11">
        <f t="shared" si="70"/>
        <v>0</v>
      </c>
      <c r="T445" s="2">
        <f>Resource!L60</f>
        <v>0</v>
      </c>
      <c r="U445" s="176">
        <f>Resource!M60/100</f>
        <v>0</v>
      </c>
    </row>
    <row r="446" spans="1:21">
      <c r="A446" s="39" t="s">
        <v>5</v>
      </c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11"/>
    </row>
    <row r="447" spans="1:21">
      <c r="A447" s="5" t="s">
        <v>188</v>
      </c>
      <c r="B447" s="91">
        <f>SUM(B395:B445)</f>
        <v>0</v>
      </c>
      <c r="C447" s="91">
        <f t="shared" ref="C447:Q447" si="101">SUM(C395:C445)</f>
        <v>0</v>
      </c>
      <c r="D447" s="91">
        <f t="shared" si="101"/>
        <v>0</v>
      </c>
      <c r="E447" s="91">
        <f t="shared" si="101"/>
        <v>236254.96293236184</v>
      </c>
      <c r="F447" s="91">
        <f t="shared" si="101"/>
        <v>331942.81188018218</v>
      </c>
      <c r="G447" s="91">
        <f t="shared" si="101"/>
        <v>295315.81752015901</v>
      </c>
      <c r="H447" s="91">
        <f t="shared" si="101"/>
        <v>288976.74339492241</v>
      </c>
      <c r="I447" s="91">
        <f t="shared" si="101"/>
        <v>290701.88652194384</v>
      </c>
      <c r="J447" s="91">
        <f t="shared" si="101"/>
        <v>291971.00162641361</v>
      </c>
      <c r="K447" s="91">
        <f t="shared" si="101"/>
        <v>296881.05285332788</v>
      </c>
      <c r="L447" s="91">
        <f t="shared" si="101"/>
        <v>289796.05788969755</v>
      </c>
      <c r="M447" s="91">
        <f t="shared" si="101"/>
        <v>292990.0092826584</v>
      </c>
      <c r="N447" s="91">
        <f t="shared" si="101"/>
        <v>300553.20540701691</v>
      </c>
      <c r="O447" s="91">
        <f t="shared" si="101"/>
        <v>308601.61795719637</v>
      </c>
      <c r="P447" s="91">
        <f t="shared" si="101"/>
        <v>312209.33301242912</v>
      </c>
      <c r="Q447" s="91">
        <f t="shared" si="101"/>
        <v>470306.9997216909</v>
      </c>
      <c r="R447" s="91"/>
      <c r="S447" s="92">
        <f>SUM(B447:R447)</f>
        <v>4006501.5</v>
      </c>
      <c r="T447" s="2">
        <f>Resource!L63</f>
        <v>4006501.5</v>
      </c>
    </row>
    <row r="448" spans="1:21">
      <c r="A448" s="5" t="s">
        <v>246</v>
      </c>
      <c r="B448" s="177">
        <f>IF(B447=0,0,SUMPRODUCT(B395:B445,$U395:$U445)/B447)</f>
        <v>0</v>
      </c>
      <c r="C448" s="177">
        <f t="shared" ref="C448" si="102">IF(C447=0,0,SUMPRODUCT(C395:C445,$U395:$U445)/C447)</f>
        <v>0</v>
      </c>
      <c r="D448" s="177">
        <f t="shared" ref="D448" si="103">IF(D447=0,0,SUMPRODUCT(D395:D445,$U395:$U445)/D447)</f>
        <v>0</v>
      </c>
      <c r="E448" s="177">
        <f t="shared" ref="E448" si="104">IF(E447=0,0,SUMPRODUCT(E395:E445,$U395:$U445)/E447)</f>
        <v>0.39305828550429045</v>
      </c>
      <c r="F448" s="177">
        <f t="shared" ref="F448" si="105">IF(F447=0,0,SUMPRODUCT(F395:F445,$U395:$U445)/F447)</f>
        <v>0.35411761939737502</v>
      </c>
      <c r="G448" s="177">
        <f t="shared" ref="G448" si="106">IF(G447=0,0,SUMPRODUCT(G395:G445,$U395:$U445)/G447)</f>
        <v>0.39803759685529455</v>
      </c>
      <c r="H448" s="177">
        <f t="shared" ref="H448" si="107">IF(H447=0,0,SUMPRODUCT(H395:H445,$U395:$U445)/H447)</f>
        <v>0.4067690601607985</v>
      </c>
      <c r="I448" s="177">
        <f t="shared" ref="I448" si="108">IF(I447=0,0,SUMPRODUCT(I395:I445,$U395:$U445)/I447)</f>
        <v>0.40435512725923678</v>
      </c>
      <c r="J448" s="177">
        <f t="shared" ref="J448" si="109">IF(J447=0,0,SUMPRODUCT(J395:J445,$U395:$U445)/J447)</f>
        <v>0.40259751024687646</v>
      </c>
      <c r="K448" s="177">
        <f t="shared" ref="K448" si="110">IF(K447=0,0,SUMPRODUCT(K395:K445,$U395:$U445)/K447)</f>
        <v>0.39593903750117077</v>
      </c>
      <c r="L448" s="177">
        <f t="shared" ref="L448" si="111">IF(L447=0,0,SUMPRODUCT(L395:L445,$U395:$U445)/L447)</f>
        <v>0.40561903835083074</v>
      </c>
      <c r="M448" s="177">
        <f t="shared" ref="M448" si="112">IF(M447=0,0,SUMPRODUCT(M395:M445,$U395:$U445)/M447)</f>
        <v>0.40119729204035415</v>
      </c>
      <c r="N448" s="177">
        <f t="shared" ref="N448" si="113">IF(N447=0,0,SUMPRODUCT(N395:N445,$U395:$U445)/N447)</f>
        <v>0.3911014629170097</v>
      </c>
      <c r="O448" s="177">
        <f t="shared" ref="O448" si="114">IF(O447=0,0,SUMPRODUCT(O395:O445,$U395:$U445)/O447)</f>
        <v>0.38090143239425533</v>
      </c>
      <c r="P448" s="177">
        <f t="shared" ref="P448" si="115">IF(P447=0,0,SUMPRODUCT(P395:P445,$U395:$U445)/P447)</f>
        <v>0.3764999501613272</v>
      </c>
      <c r="Q448" s="177">
        <f t="shared" ref="Q448" si="116">IF(Q447=0,0,SUMPRODUCT(Q395:Q445,$U395:$U445)/Q447)</f>
        <v>0.40740137810285781</v>
      </c>
      <c r="R448" s="177"/>
      <c r="S448" s="178">
        <f>SUMPRODUCT(B447:R447,B448:R448)/S447</f>
        <v>0.39373015884307044</v>
      </c>
      <c r="T448" s="176">
        <f>Resource!M63/100</f>
        <v>0.39373015884307039</v>
      </c>
    </row>
    <row r="449" spans="1:21">
      <c r="A449" s="8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8"/>
      <c r="T449" s="2"/>
      <c r="U449" s="176"/>
    </row>
    <row r="452" spans="1:21">
      <c r="A452" s="13" t="s">
        <v>0</v>
      </c>
      <c r="B452" s="77"/>
      <c r="C452" s="77"/>
      <c r="D452" s="77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5"/>
    </row>
    <row r="453" spans="1:21">
      <c r="A453" s="16" t="str">
        <f>Title!$F$10</f>
        <v>ARTHUR RIVER MAGNESITE PROJECT</v>
      </c>
      <c r="B453" s="78"/>
      <c r="C453" s="78"/>
      <c r="D453" s="78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</row>
    <row r="454" spans="1:21">
      <c r="A454" s="16" t="str">
        <f>Title!$F$12</f>
        <v>ORDER OF MAGNITUDE COST STUDY: CALCINE PRODUCTION ONLY</v>
      </c>
      <c r="B454" s="78"/>
      <c r="C454" s="78"/>
      <c r="D454" s="78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</row>
    <row r="455" spans="1:21">
      <c r="A455" s="19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 t="str">
        <f>Title!$F$19</f>
        <v>3 October 2011</v>
      </c>
      <c r="S455" s="18"/>
    </row>
    <row r="456" spans="1:21">
      <c r="A456" s="20" t="s">
        <v>280</v>
      </c>
      <c r="B456" s="79"/>
      <c r="C456" s="79"/>
      <c r="D456" s="79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</row>
    <row r="457" spans="1:21">
      <c r="A457" s="46"/>
      <c r="B457" s="41" t="s">
        <v>26</v>
      </c>
      <c r="C457" s="41" t="s">
        <v>26</v>
      </c>
      <c r="D457" s="41" t="s">
        <v>26</v>
      </c>
      <c r="E457" s="41" t="s">
        <v>26</v>
      </c>
      <c r="F457" s="41" t="s">
        <v>26</v>
      </c>
      <c r="G457" s="41" t="s">
        <v>26</v>
      </c>
      <c r="H457" s="41" t="s">
        <v>26</v>
      </c>
      <c r="I457" s="41" t="s">
        <v>26</v>
      </c>
      <c r="J457" s="41" t="s">
        <v>26</v>
      </c>
      <c r="K457" s="41" t="s">
        <v>26</v>
      </c>
      <c r="L457" s="41" t="s">
        <v>26</v>
      </c>
      <c r="M457" s="41" t="s">
        <v>26</v>
      </c>
      <c r="N457" s="41" t="s">
        <v>26</v>
      </c>
      <c r="O457" s="41" t="s">
        <v>26</v>
      </c>
      <c r="P457" s="41" t="s">
        <v>26</v>
      </c>
      <c r="Q457" s="41" t="s">
        <v>26</v>
      </c>
      <c r="R457" s="41"/>
      <c r="S457" s="42" t="s">
        <v>5</v>
      </c>
      <c r="T457" s="174" t="s">
        <v>32</v>
      </c>
      <c r="U457" s="175" t="s">
        <v>247</v>
      </c>
    </row>
    <row r="458" spans="1:21">
      <c r="A458" s="8"/>
      <c r="B458" s="43">
        <v>-3</v>
      </c>
      <c r="C458" s="43">
        <v>-2</v>
      </c>
      <c r="D458" s="43">
        <v>-1</v>
      </c>
      <c r="E458" s="43">
        <v>1</v>
      </c>
      <c r="F458" s="43">
        <v>2</v>
      </c>
      <c r="G458" s="43">
        <v>3</v>
      </c>
      <c r="H458" s="43">
        <v>4</v>
      </c>
      <c r="I458" s="43">
        <v>5</v>
      </c>
      <c r="J458" s="43">
        <v>6</v>
      </c>
      <c r="K458" s="43">
        <v>7</v>
      </c>
      <c r="L458" s="43">
        <v>8</v>
      </c>
      <c r="M458" s="43">
        <v>9</v>
      </c>
      <c r="N458" s="43">
        <v>10</v>
      </c>
      <c r="O458" s="43">
        <v>11</v>
      </c>
      <c r="P458" s="43">
        <v>12</v>
      </c>
      <c r="Q458" s="43">
        <v>13</v>
      </c>
      <c r="R458" s="43"/>
      <c r="S458" s="47"/>
    </row>
    <row r="459" spans="1:21">
      <c r="A459" s="39" t="s">
        <v>178</v>
      </c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6"/>
    </row>
    <row r="460" spans="1:21">
      <c r="A460" s="139">
        <v>195</v>
      </c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11">
        <f t="shared" ref="S460:S477" si="117">SUM(B460:R460)</f>
        <v>0</v>
      </c>
      <c r="T460" s="2">
        <f>Resource!C10*(1-'Phys Input'!$B$11)*'Phys Input'!$B$48</f>
        <v>0</v>
      </c>
      <c r="U460" s="176">
        <f>Resource!D10*'Phys Input'!$B$15/100</f>
        <v>0</v>
      </c>
    </row>
    <row r="461" spans="1:21">
      <c r="A461" s="141">
        <v>190</v>
      </c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11">
        <f t="shared" si="117"/>
        <v>0</v>
      </c>
      <c r="T461" s="2">
        <f>Resource!C11*(1-'Phys Input'!$B$11)*'Phys Input'!$B$48</f>
        <v>0</v>
      </c>
      <c r="U461" s="176">
        <f>Resource!D11*'Phys Input'!$B$15/100</f>
        <v>0</v>
      </c>
    </row>
    <row r="462" spans="1:21">
      <c r="A462" s="141">
        <v>185</v>
      </c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11">
        <f t="shared" si="117"/>
        <v>0</v>
      </c>
      <c r="T462" s="2">
        <f>Resource!C12*(1-'Phys Input'!$B$11)*'Phys Input'!$B$48</f>
        <v>0</v>
      </c>
      <c r="U462" s="176">
        <f>Resource!D12*'Phys Input'!$B$15/100</f>
        <v>0</v>
      </c>
    </row>
    <row r="463" spans="1:21">
      <c r="A463" s="141">
        <v>180</v>
      </c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11">
        <f t="shared" si="117"/>
        <v>0</v>
      </c>
      <c r="T463" s="2">
        <f>Resource!C13*(1-'Phys Input'!$B$11)*'Phys Input'!$B$48</f>
        <v>0</v>
      </c>
      <c r="U463" s="176">
        <f>Resource!D13*'Phys Input'!$B$15/100</f>
        <v>0</v>
      </c>
    </row>
    <row r="464" spans="1:21">
      <c r="A464" s="141">
        <v>175</v>
      </c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11">
        <f t="shared" si="117"/>
        <v>0</v>
      </c>
      <c r="T464" s="2">
        <f>Resource!C14*(1-'Phys Input'!$B$11)*'Phys Input'!$B$48</f>
        <v>0</v>
      </c>
      <c r="U464" s="176">
        <f>Resource!D14*'Phys Input'!$B$15/100</f>
        <v>0</v>
      </c>
    </row>
    <row r="465" spans="1:21">
      <c r="A465" s="141">
        <v>170</v>
      </c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11">
        <f t="shared" si="117"/>
        <v>0</v>
      </c>
      <c r="T465" s="2">
        <f>Resource!C15*(1-'Phys Input'!$B$11)*'Phys Input'!$B$48</f>
        <v>0</v>
      </c>
      <c r="U465" s="176">
        <f>Resource!D15*'Phys Input'!$B$15/100</f>
        <v>0</v>
      </c>
    </row>
    <row r="466" spans="1:21">
      <c r="A466" s="146">
        <v>165</v>
      </c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11">
        <f t="shared" si="117"/>
        <v>0</v>
      </c>
      <c r="T466" s="2">
        <f>Resource!C16*(1-'Phys Input'!$B$11)*'Phys Input'!$B$48</f>
        <v>0</v>
      </c>
      <c r="U466" s="176">
        <f>Resource!D16*'Phys Input'!$B$15/100</f>
        <v>0</v>
      </c>
    </row>
    <row r="467" spans="1:21">
      <c r="A467" s="146">
        <v>160</v>
      </c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11">
        <f t="shared" si="117"/>
        <v>0</v>
      </c>
      <c r="T467" s="2">
        <f>Resource!C17*(1-'Phys Input'!$B$11)*'Phys Input'!$B$48</f>
        <v>0</v>
      </c>
      <c r="U467" s="176">
        <f>Resource!D17*'Phys Input'!$B$15/100</f>
        <v>0</v>
      </c>
    </row>
    <row r="468" spans="1:21">
      <c r="A468" s="146">
        <v>155</v>
      </c>
      <c r="B468" s="31"/>
      <c r="C468" s="31"/>
      <c r="D468" s="31"/>
      <c r="E468" s="31">
        <f>$T468-SUM($B468:D468)</f>
        <v>55404</v>
      </c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11">
        <f t="shared" si="117"/>
        <v>55404</v>
      </c>
      <c r="T468" s="2">
        <f>Resource!C18*(1-'Phys Input'!$B$11)*'Phys Input'!$B$48</f>
        <v>55404</v>
      </c>
      <c r="U468" s="176">
        <f>Resource!D18*'Phys Input'!$B$15/100</f>
        <v>0.42084999999999995</v>
      </c>
    </row>
    <row r="469" spans="1:21">
      <c r="A469" s="146">
        <v>150</v>
      </c>
      <c r="B469" s="31"/>
      <c r="C469" s="31"/>
      <c r="D469" s="31"/>
      <c r="E469" s="31">
        <f>$T469-SUM($B469:D469)</f>
        <v>76334.399999999994</v>
      </c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11">
        <f t="shared" si="117"/>
        <v>76334.399999999994</v>
      </c>
      <c r="T469" s="2">
        <f>Resource!C19*(1-'Phys Input'!$B$11)*'Phys Input'!$B$48</f>
        <v>76334.399999999994</v>
      </c>
      <c r="U469" s="176">
        <f>Resource!D19*'Phys Input'!$B$15/100</f>
        <v>0.42084999999999995</v>
      </c>
    </row>
    <row r="470" spans="1:21">
      <c r="A470" s="146">
        <v>145</v>
      </c>
      <c r="B470" s="31"/>
      <c r="C470" s="31"/>
      <c r="D470" s="31"/>
      <c r="E470" s="31">
        <f>'Phys Input'!$B$28*'Phys Input'!$F$90-SUM(E$460:E469)</f>
        <v>56920.231162226759</v>
      </c>
      <c r="F470" s="31">
        <f>$T470-SUM($B470:E470)</f>
        <v>46500.568837773229</v>
      </c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11">
        <f t="shared" si="117"/>
        <v>103420.79999999999</v>
      </c>
      <c r="T470" s="2">
        <f>Resource!C20*(1-'Phys Input'!$B$11)*'Phys Input'!$B$48</f>
        <v>103420.79999999999</v>
      </c>
      <c r="U470" s="176">
        <f>Resource!D20*'Phys Input'!$B$15/100</f>
        <v>0.42084999999999995</v>
      </c>
    </row>
    <row r="471" spans="1:21">
      <c r="A471" s="146">
        <v>140</v>
      </c>
      <c r="B471" s="31"/>
      <c r="C471" s="31"/>
      <c r="D471" s="31"/>
      <c r="E471" s="31"/>
      <c r="F471" s="31">
        <f>$T471-SUM($B471:E471)</f>
        <v>81259.199999999997</v>
      </c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11">
        <f t="shared" si="117"/>
        <v>81259.199999999997</v>
      </c>
      <c r="T471" s="2">
        <f>Resource!C21*(1-'Phys Input'!$B$11)*'Phys Input'!$B$48</f>
        <v>81259.199999999997</v>
      </c>
      <c r="U471" s="176">
        <f>Resource!D21*'Phys Input'!$B$15/100</f>
        <v>0.42084999999999995</v>
      </c>
    </row>
    <row r="472" spans="1:21">
      <c r="A472" s="146">
        <v>135</v>
      </c>
      <c r="B472" s="31"/>
      <c r="C472" s="31"/>
      <c r="D472" s="31"/>
      <c r="E472" s="31"/>
      <c r="F472" s="31">
        <f>$T472-SUM($B472:E472)</f>
        <v>98496</v>
      </c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11">
        <f t="shared" si="117"/>
        <v>98496</v>
      </c>
      <c r="T472" s="2">
        <f>Resource!C22*(1-'Phys Input'!$B$11)*'Phys Input'!$B$48</f>
        <v>98496</v>
      </c>
      <c r="U472" s="176">
        <f>Resource!D22*'Phys Input'!$B$15/100</f>
        <v>0.42084999999999995</v>
      </c>
    </row>
    <row r="473" spans="1:21">
      <c r="A473" s="146">
        <v>130</v>
      </c>
      <c r="B473" s="31"/>
      <c r="C473" s="31"/>
      <c r="D473" s="31"/>
      <c r="E473" s="31"/>
      <c r="F473" s="31">
        <f>'Phys Input'!$B$28-SUM(F$460:F472)</f>
        <v>12552.625038463157</v>
      </c>
      <c r="G473" s="31">
        <f>$T473-SUM($B473:F473)</f>
        <v>81018.57496153684</v>
      </c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11">
        <f t="shared" si="117"/>
        <v>93571.199999999997</v>
      </c>
      <c r="T473" s="2">
        <f>Resource!C23*(1-'Phys Input'!$B$11)*'Phys Input'!$B$48</f>
        <v>93571.199999999997</v>
      </c>
      <c r="U473" s="176">
        <f>Resource!D23*'Phys Input'!$B$15/100</f>
        <v>0.42084999999999995</v>
      </c>
    </row>
    <row r="474" spans="1:21">
      <c r="A474" s="146">
        <v>125</v>
      </c>
      <c r="B474" s="31"/>
      <c r="C474" s="31"/>
      <c r="D474" s="31"/>
      <c r="E474" s="31"/>
      <c r="F474" s="31"/>
      <c r="G474" s="31">
        <f>$T474-SUM($B474:F474)</f>
        <v>73872</v>
      </c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11">
        <f t="shared" si="117"/>
        <v>73872</v>
      </c>
      <c r="T474" s="2">
        <f>Resource!C24*(1-'Phys Input'!$B$11)*'Phys Input'!$B$48</f>
        <v>73872</v>
      </c>
      <c r="U474" s="176">
        <f>Resource!D24*'Phys Input'!$B$15/100</f>
        <v>0.42084999999999995</v>
      </c>
    </row>
    <row r="475" spans="1:21">
      <c r="A475" s="146">
        <v>120</v>
      </c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11">
        <f t="shared" si="117"/>
        <v>0</v>
      </c>
      <c r="T475" s="2">
        <f>Resource!C25*(1-'Phys Input'!$B$11)*'Phys Input'!$B$48</f>
        <v>0</v>
      </c>
      <c r="U475" s="176">
        <f>Resource!D25*'Phys Input'!$B$15/100</f>
        <v>0</v>
      </c>
    </row>
    <row r="476" spans="1:21">
      <c r="A476" s="146">
        <v>115</v>
      </c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11">
        <f t="shared" si="117"/>
        <v>0</v>
      </c>
      <c r="T476" s="2">
        <f>Resource!C26*(1-'Phys Input'!$B$11)*'Phys Input'!$B$48</f>
        <v>0</v>
      </c>
      <c r="U476" s="176">
        <f>Resource!D26*'Phys Input'!$B$15/100</f>
        <v>0</v>
      </c>
    </row>
    <row r="477" spans="1:21">
      <c r="A477" s="146">
        <v>110</v>
      </c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11">
        <f t="shared" si="117"/>
        <v>0</v>
      </c>
      <c r="T477" s="2">
        <f>Resource!C27*(1-'Phys Input'!$B$11)*'Phys Input'!$B$48</f>
        <v>0</v>
      </c>
      <c r="U477" s="176">
        <f>Resource!D27*'Phys Input'!$B$15/100</f>
        <v>0</v>
      </c>
    </row>
    <row r="478" spans="1:21">
      <c r="A478" s="112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11"/>
      <c r="T478" s="2"/>
      <c r="U478" s="176"/>
    </row>
    <row r="479" spans="1:21">
      <c r="A479" s="39" t="s">
        <v>179</v>
      </c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11"/>
      <c r="T479" s="2"/>
      <c r="U479" s="176"/>
    </row>
    <row r="480" spans="1:21">
      <c r="A480" s="146">
        <v>150</v>
      </c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11">
        <f t="shared" ref="S480:S510" si="118">SUM(B480:R480)</f>
        <v>0</v>
      </c>
      <c r="T480" s="2">
        <f>Resource!C30*(1-'Phys Input'!$B$11)*'Phys Input'!$B$48</f>
        <v>0</v>
      </c>
      <c r="U480" s="176">
        <f>Resource!D30*'Phys Input'!$B$15/100</f>
        <v>0</v>
      </c>
    </row>
    <row r="481" spans="1:21">
      <c r="A481" s="146">
        <v>145</v>
      </c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11">
        <f t="shared" si="118"/>
        <v>0</v>
      </c>
      <c r="T481" s="2">
        <f>Resource!C31*(1-'Phys Input'!$B$11)*'Phys Input'!$B$48</f>
        <v>0</v>
      </c>
      <c r="U481" s="176">
        <f>Resource!D31*'Phys Input'!$B$15/100</f>
        <v>0</v>
      </c>
    </row>
    <row r="482" spans="1:21">
      <c r="A482" s="146">
        <v>140</v>
      </c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11">
        <f t="shared" si="118"/>
        <v>0</v>
      </c>
      <c r="T482" s="2">
        <f>Resource!C32*(1-'Phys Input'!$B$11)*'Phys Input'!$B$48</f>
        <v>0</v>
      </c>
      <c r="U482" s="176">
        <f>Resource!D32*'Phys Input'!$B$15/100</f>
        <v>0</v>
      </c>
    </row>
    <row r="483" spans="1:21">
      <c r="A483" s="146">
        <v>135</v>
      </c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11">
        <f t="shared" si="118"/>
        <v>0</v>
      </c>
      <c r="T483" s="2">
        <f>Resource!C33*(1-'Phys Input'!$B$11)*'Phys Input'!$B$48</f>
        <v>0</v>
      </c>
      <c r="U483" s="176">
        <f>Resource!D33*'Phys Input'!$B$15/100</f>
        <v>0</v>
      </c>
    </row>
    <row r="484" spans="1:21">
      <c r="A484" s="146">
        <v>130</v>
      </c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11">
        <f t="shared" si="118"/>
        <v>0</v>
      </c>
      <c r="T484" s="2">
        <f>Resource!C34*(1-'Phys Input'!$B$11)*'Phys Input'!$B$48</f>
        <v>0</v>
      </c>
      <c r="U484" s="176">
        <f>Resource!D34*'Phys Input'!$B$15/100</f>
        <v>0</v>
      </c>
    </row>
    <row r="485" spans="1:21">
      <c r="A485" s="146">
        <v>125</v>
      </c>
      <c r="B485" s="31"/>
      <c r="C485" s="31"/>
      <c r="D485" s="31"/>
      <c r="E485" s="31"/>
      <c r="F485" s="31"/>
      <c r="G485" s="31">
        <f>'Phys Input'!$B$28-SUM(G$460:G484)</f>
        <v>83917.818914699543</v>
      </c>
      <c r="H485" s="31">
        <f>'Phys Input'!$B$28-SUM(H$460:H484)</f>
        <v>238808.3938762364</v>
      </c>
      <c r="I485" s="31">
        <f>$T485-SUM($B485:H485)</f>
        <v>102037.78720906406</v>
      </c>
      <c r="J485" s="31"/>
      <c r="K485" s="31"/>
      <c r="L485" s="31"/>
      <c r="M485" s="31"/>
      <c r="N485" s="31"/>
      <c r="O485" s="31"/>
      <c r="P485" s="31"/>
      <c r="Q485" s="31"/>
      <c r="R485" s="31"/>
      <c r="S485" s="11">
        <f t="shared" si="118"/>
        <v>424764</v>
      </c>
      <c r="T485" s="2">
        <f>Resource!C35*(1-'Phys Input'!$B$11)*'Phys Input'!$B$48</f>
        <v>424764</v>
      </c>
      <c r="U485" s="176">
        <f>Resource!D35*'Phys Input'!$B$15/100</f>
        <v>0.42084999999999995</v>
      </c>
    </row>
    <row r="486" spans="1:21">
      <c r="A486" s="146">
        <v>120</v>
      </c>
      <c r="B486" s="31"/>
      <c r="C486" s="31"/>
      <c r="D486" s="31"/>
      <c r="E486" s="31"/>
      <c r="F486" s="31"/>
      <c r="G486" s="31"/>
      <c r="H486" s="31"/>
      <c r="I486" s="31">
        <f>'Phys Input'!$B$28-SUM(I$460:I485)</f>
        <v>136770.60666717234</v>
      </c>
      <c r="J486" s="31">
        <f>$T486-SUM($B486:I486)</f>
        <v>239976.59333282762</v>
      </c>
      <c r="K486" s="31"/>
      <c r="L486" s="31"/>
      <c r="M486" s="31"/>
      <c r="N486" s="31"/>
      <c r="O486" s="31"/>
      <c r="P486" s="31"/>
      <c r="Q486" s="31"/>
      <c r="R486" s="31"/>
      <c r="S486" s="11">
        <f t="shared" si="118"/>
        <v>376747.19999999995</v>
      </c>
      <c r="T486" s="2">
        <f>Resource!C36*(1-'Phys Input'!$B$11)*'Phys Input'!$B$48</f>
        <v>376747.19999999995</v>
      </c>
      <c r="U486" s="176">
        <f>Resource!D36*'Phys Input'!$B$15/100</f>
        <v>0.42084999999999995</v>
      </c>
    </row>
    <row r="487" spans="1:21">
      <c r="A487" s="146">
        <v>115</v>
      </c>
      <c r="B487" s="31"/>
      <c r="C487" s="31"/>
      <c r="D487" s="31"/>
      <c r="E487" s="31"/>
      <c r="F487" s="31"/>
      <c r="G487" s="31"/>
      <c r="H487" s="31"/>
      <c r="I487" s="31"/>
      <c r="J487" s="31">
        <f>'Phys Input'!$B$28-SUM(J$460:J486)</f>
        <v>-1168.1994565912173</v>
      </c>
      <c r="K487" s="31">
        <f>$T487-SUM($B487:J487)</f>
        <v>332360.99945659121</v>
      </c>
      <c r="L487" s="31"/>
      <c r="M487" s="31"/>
      <c r="N487" s="31"/>
      <c r="O487" s="31"/>
      <c r="P487" s="31"/>
      <c r="Q487" s="31"/>
      <c r="R487" s="31"/>
      <c r="S487" s="11">
        <f t="shared" si="118"/>
        <v>331192.8</v>
      </c>
      <c r="T487" s="2">
        <f>Resource!C37*(1-'Phys Input'!$B$11)*'Phys Input'!$B$48</f>
        <v>331192.8</v>
      </c>
      <c r="U487" s="176">
        <f>Resource!D37*'Phys Input'!$B$15/100</f>
        <v>0.42084999999999995</v>
      </c>
    </row>
    <row r="488" spans="1:21">
      <c r="A488" s="146">
        <v>110</v>
      </c>
      <c r="B488" s="31"/>
      <c r="C488" s="31"/>
      <c r="D488" s="31"/>
      <c r="E488" s="31"/>
      <c r="F488" s="31"/>
      <c r="G488" s="31"/>
      <c r="H488" s="31"/>
      <c r="I488" s="31"/>
      <c r="J488" s="31"/>
      <c r="K488" s="31">
        <f>'Phys Input'!$B$28-SUM(K$460:K487)</f>
        <v>-93552.605580354808</v>
      </c>
      <c r="L488" s="31">
        <f>$T488-SUM($B488:K488)</f>
        <v>389040.60558035481</v>
      </c>
      <c r="M488" s="31"/>
      <c r="N488" s="31"/>
      <c r="O488" s="31"/>
      <c r="P488" s="31"/>
      <c r="Q488" s="31"/>
      <c r="R488" s="31"/>
      <c r="S488" s="11">
        <f t="shared" si="118"/>
        <v>295488</v>
      </c>
      <c r="T488" s="2">
        <f>Resource!C38*(1-'Phys Input'!$B$11)*'Phys Input'!$B$48</f>
        <v>295488</v>
      </c>
      <c r="U488" s="176">
        <f>Resource!D38*'Phys Input'!$B$15/100</f>
        <v>0.42084999999999995</v>
      </c>
    </row>
    <row r="489" spans="1:21">
      <c r="A489" s="139">
        <v>105</v>
      </c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>
        <f>'Phys Input'!$B$28-SUM(L$460:L488)</f>
        <v>-150232.21170411841</v>
      </c>
      <c r="M489" s="31">
        <f>$T489-SUM($B489:L489)</f>
        <v>405090.61170411843</v>
      </c>
      <c r="N489" s="31"/>
      <c r="O489" s="31"/>
      <c r="P489" s="31"/>
      <c r="Q489" s="31"/>
      <c r="R489" s="31"/>
      <c r="S489" s="11">
        <f t="shared" si="118"/>
        <v>254858.40000000002</v>
      </c>
      <c r="T489" s="2">
        <f>Resource!C39*(1-'Phys Input'!$B$11)*'Phys Input'!$B$48</f>
        <v>254858.4</v>
      </c>
      <c r="U489" s="176">
        <f>Resource!D39*'Phys Input'!$B$15/100</f>
        <v>0.42084999999999995</v>
      </c>
    </row>
    <row r="490" spans="1:21">
      <c r="A490" s="139">
        <v>100</v>
      </c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>
        <f>'Phys Input'!$B$28-SUM(M$460:M489)</f>
        <v>-166282.21782788204</v>
      </c>
      <c r="N490" s="31">
        <f>$T490-SUM($B490:M490)</f>
        <v>382973.41782788199</v>
      </c>
      <c r="O490" s="31"/>
      <c r="P490" s="31"/>
      <c r="Q490" s="31"/>
      <c r="R490" s="31"/>
      <c r="S490" s="11">
        <f t="shared" si="118"/>
        <v>216691.19999999995</v>
      </c>
      <c r="T490" s="2">
        <f>Resource!C40*(1-'Phys Input'!$B$11)*'Phys Input'!$B$48</f>
        <v>216691.19999999998</v>
      </c>
      <c r="U490" s="176">
        <f>Resource!D40*'Phys Input'!$B$15/100</f>
        <v>0.42084999999999995</v>
      </c>
    </row>
    <row r="491" spans="1:21">
      <c r="A491" s="139">
        <v>95</v>
      </c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>
        <f>'Phys Input'!$B$28-SUM(N$460:N490)</f>
        <v>-144165.02395164559</v>
      </c>
      <c r="O491" s="31">
        <f>$T491-SUM($B491:N491)</f>
        <v>327613.82395164558</v>
      </c>
      <c r="P491" s="31"/>
      <c r="Q491" s="31"/>
      <c r="R491" s="31"/>
      <c r="S491" s="11">
        <f t="shared" si="118"/>
        <v>183448.8</v>
      </c>
      <c r="T491" s="2">
        <f>Resource!C41*(1-'Phys Input'!$B$11)*'Phys Input'!$B$48</f>
        <v>183448.8</v>
      </c>
      <c r="U491" s="176">
        <f>Resource!D41*'Phys Input'!$B$15/100</f>
        <v>0.42084999999999995</v>
      </c>
    </row>
    <row r="492" spans="1:21">
      <c r="A492" s="139">
        <v>90</v>
      </c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>
        <f>$T492-SUM($B492:N492)</f>
        <v>155131.19999999998</v>
      </c>
      <c r="P492" s="31"/>
      <c r="Q492" s="31"/>
      <c r="R492" s="31"/>
      <c r="S492" s="11">
        <f t="shared" si="118"/>
        <v>155131.19999999998</v>
      </c>
      <c r="T492" s="2">
        <f>Resource!C42*(1-'Phys Input'!$B$11)*'Phys Input'!$B$48</f>
        <v>155131.19999999998</v>
      </c>
      <c r="U492" s="176">
        <f>Resource!D42*'Phys Input'!$B$15/100</f>
        <v>0.42084999999999995</v>
      </c>
    </row>
    <row r="493" spans="1:21">
      <c r="A493" s="139">
        <v>85</v>
      </c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>
        <f>'Phys Input'!$B$28-SUM(O$460:O492)</f>
        <v>-243936.63007540919</v>
      </c>
      <c r="P493" s="31">
        <f>$T493-SUM($B493:O493)</f>
        <v>373212.63007540919</v>
      </c>
      <c r="Q493" s="31"/>
      <c r="R493" s="31"/>
      <c r="S493" s="11">
        <f t="shared" si="118"/>
        <v>129276</v>
      </c>
      <c r="T493" s="2">
        <f>Resource!C43*(1-'Phys Input'!$B$11)*'Phys Input'!$B$48</f>
        <v>129276</v>
      </c>
      <c r="U493" s="176">
        <f>Resource!D43*'Phys Input'!$B$15/100</f>
        <v>0.42084999999999995</v>
      </c>
    </row>
    <row r="494" spans="1:21">
      <c r="A494" s="141">
        <v>80</v>
      </c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>
        <f>$T494-SUM($B494:O494)</f>
        <v>105883.2</v>
      </c>
      <c r="Q494" s="31"/>
      <c r="R494" s="31"/>
      <c r="S494" s="11">
        <f t="shared" si="118"/>
        <v>105883.2</v>
      </c>
      <c r="T494" s="2">
        <f>Resource!C44*(1-'Phys Input'!$B$11)*'Phys Input'!$B$48</f>
        <v>105883.2</v>
      </c>
      <c r="U494" s="176">
        <f>Resource!D44*'Phys Input'!$B$15/100</f>
        <v>0.42084999999999995</v>
      </c>
    </row>
    <row r="495" spans="1:21">
      <c r="A495" s="141">
        <v>75</v>
      </c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>
        <f>'Phys Input'!$B$28-SUM(P$460:P494)</f>
        <v>-240287.43619917281</v>
      </c>
      <c r="Q495" s="31">
        <f>$T495-SUM($B495:P495)</f>
        <v>325240.2361991728</v>
      </c>
      <c r="R495" s="31"/>
      <c r="S495" s="11">
        <f t="shared" si="118"/>
        <v>84952.799999999988</v>
      </c>
      <c r="T495" s="2">
        <f>Resource!C45*(1-'Phys Input'!$B$11)*'Phys Input'!$B$48</f>
        <v>84952.8</v>
      </c>
      <c r="U495" s="176">
        <f>Resource!D45*'Phys Input'!$B$15/100</f>
        <v>0.42084999999999995</v>
      </c>
    </row>
    <row r="496" spans="1:21">
      <c r="A496" s="141">
        <v>70</v>
      </c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>
        <f>$T496-SUM($B496:P496)</f>
        <v>64022.399999999994</v>
      </c>
      <c r="R496" s="31"/>
      <c r="S496" s="11">
        <f t="shared" si="118"/>
        <v>64022.399999999994</v>
      </c>
      <c r="T496" s="2">
        <f>Resource!C46*(1-'Phys Input'!$B$11)*'Phys Input'!$B$48</f>
        <v>64022.399999999994</v>
      </c>
      <c r="U496" s="176">
        <f>Resource!D46*'Phys Input'!$B$15/100</f>
        <v>0.42084999999999995</v>
      </c>
    </row>
    <row r="497" spans="1:21">
      <c r="A497" s="141">
        <v>65</v>
      </c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11">
        <f t="shared" si="118"/>
        <v>0</v>
      </c>
      <c r="T497" s="2">
        <f>Resource!C47*(1-'Phys Input'!$B$11)*'Phys Input'!$B$48</f>
        <v>0</v>
      </c>
      <c r="U497" s="176">
        <f>Resource!D47*'Phys Input'!$B$15/100</f>
        <v>0</v>
      </c>
    </row>
    <row r="498" spans="1:21">
      <c r="A498" s="141">
        <v>60</v>
      </c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11">
        <f t="shared" si="118"/>
        <v>0</v>
      </c>
      <c r="T498" s="2">
        <f>Resource!C48*(1-'Phys Input'!$B$11)*'Phys Input'!$B$48</f>
        <v>0</v>
      </c>
      <c r="U498" s="176">
        <f>Resource!D48*'Phys Input'!$B$15/100</f>
        <v>0</v>
      </c>
    </row>
    <row r="499" spans="1:21">
      <c r="A499" s="146">
        <v>55</v>
      </c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11">
        <f t="shared" si="118"/>
        <v>0</v>
      </c>
      <c r="T499" s="2">
        <f>Resource!C49*(1-'Phys Input'!$B$11)*'Phys Input'!$B$48</f>
        <v>0</v>
      </c>
      <c r="U499" s="176">
        <f>Resource!D49*'Phys Input'!$B$15/100</f>
        <v>0</v>
      </c>
    </row>
    <row r="500" spans="1:21">
      <c r="A500" s="146">
        <v>50</v>
      </c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11">
        <f t="shared" si="118"/>
        <v>0</v>
      </c>
      <c r="T500" s="2">
        <f>Resource!C50*(1-'Phys Input'!$B$11)*'Phys Input'!$B$48</f>
        <v>0</v>
      </c>
      <c r="U500" s="176">
        <f>Resource!D50*'Phys Input'!$B$15/100</f>
        <v>0</v>
      </c>
    </row>
    <row r="501" spans="1:21">
      <c r="A501" s="146">
        <v>45</v>
      </c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11">
        <f t="shared" si="118"/>
        <v>0</v>
      </c>
      <c r="T501" s="2">
        <f>Resource!C51*(1-'Phys Input'!$B$11)*'Phys Input'!$B$48</f>
        <v>0</v>
      </c>
      <c r="U501" s="176">
        <f>Resource!D51*'Phys Input'!$B$15/100</f>
        <v>0</v>
      </c>
    </row>
    <row r="502" spans="1:21">
      <c r="A502" s="146">
        <v>40</v>
      </c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11">
        <f t="shared" si="118"/>
        <v>0</v>
      </c>
      <c r="T502" s="2">
        <f>Resource!C52*(1-'Phys Input'!$B$11)*'Phys Input'!$B$48</f>
        <v>0</v>
      </c>
      <c r="U502" s="176">
        <f>Resource!D52*'Phys Input'!$B$15/100</f>
        <v>0</v>
      </c>
    </row>
    <row r="503" spans="1:21">
      <c r="A503" s="146">
        <v>35</v>
      </c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11">
        <f t="shared" si="118"/>
        <v>0</v>
      </c>
      <c r="T503" s="2">
        <f>Resource!C53*(1-'Phys Input'!$B$11)*'Phys Input'!$B$48</f>
        <v>0</v>
      </c>
      <c r="U503" s="176">
        <f>Resource!D53*'Phys Input'!$B$15/100</f>
        <v>0</v>
      </c>
    </row>
    <row r="504" spans="1:21">
      <c r="A504" s="146">
        <v>30</v>
      </c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11">
        <f t="shared" si="118"/>
        <v>0</v>
      </c>
      <c r="T504" s="2">
        <f>Resource!C54*(1-'Phys Input'!$B$11)*'Phys Input'!$B$48</f>
        <v>0</v>
      </c>
      <c r="U504" s="176">
        <f>Resource!D54*'Phys Input'!$B$15/100</f>
        <v>0</v>
      </c>
    </row>
    <row r="505" spans="1:21">
      <c r="A505" s="146">
        <v>25</v>
      </c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11">
        <f t="shared" si="118"/>
        <v>0</v>
      </c>
      <c r="T505" s="2">
        <f>Resource!C55*(1-'Phys Input'!$B$11)*'Phys Input'!$B$48</f>
        <v>0</v>
      </c>
      <c r="U505" s="176">
        <f>Resource!D55*'Phys Input'!$B$15/100</f>
        <v>0</v>
      </c>
    </row>
    <row r="506" spans="1:21">
      <c r="A506" s="146">
        <v>20</v>
      </c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11">
        <f t="shared" si="118"/>
        <v>0</v>
      </c>
      <c r="T506" s="2">
        <f>Resource!C56*(1-'Phys Input'!$B$11)*'Phys Input'!$B$48</f>
        <v>0</v>
      </c>
      <c r="U506" s="176">
        <f>Resource!D56*'Phys Input'!$B$15/100</f>
        <v>0</v>
      </c>
    </row>
    <row r="507" spans="1:21">
      <c r="A507" s="146">
        <v>15</v>
      </c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11">
        <f t="shared" si="118"/>
        <v>0</v>
      </c>
      <c r="T507" s="2">
        <f>Resource!C57*(1-'Phys Input'!$B$11)*'Phys Input'!$B$48</f>
        <v>0</v>
      </c>
      <c r="U507" s="176">
        <f>Resource!D57*'Phys Input'!$B$15/100</f>
        <v>0</v>
      </c>
    </row>
    <row r="508" spans="1:21">
      <c r="A508" s="146">
        <v>10</v>
      </c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11">
        <f t="shared" si="118"/>
        <v>0</v>
      </c>
      <c r="T508" s="2">
        <f>Resource!C58*(1-'Phys Input'!$B$11)*'Phys Input'!$B$48</f>
        <v>0</v>
      </c>
      <c r="U508" s="176">
        <f>Resource!D58*'Phys Input'!$B$15/100</f>
        <v>0</v>
      </c>
    </row>
    <row r="509" spans="1:21">
      <c r="A509" s="146">
        <v>5</v>
      </c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11">
        <f t="shared" si="118"/>
        <v>0</v>
      </c>
      <c r="T509" s="2">
        <f>Resource!C59*(1-'Phys Input'!$B$11)*'Phys Input'!$B$48</f>
        <v>0</v>
      </c>
      <c r="U509" s="176">
        <f>Resource!D59*'Phys Input'!$B$15/100</f>
        <v>0</v>
      </c>
    </row>
    <row r="510" spans="1:21">
      <c r="A510" s="146">
        <v>0</v>
      </c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11">
        <f t="shared" si="118"/>
        <v>0</v>
      </c>
      <c r="T510" s="2">
        <f>Resource!C60*(1-'Phys Input'!$B$11)*'Phys Input'!$B$48</f>
        <v>0</v>
      </c>
      <c r="U510" s="176">
        <f>Resource!D60*'Phys Input'!$B$15/100</f>
        <v>0</v>
      </c>
    </row>
    <row r="511" spans="1:21">
      <c r="A511" s="39" t="s">
        <v>5</v>
      </c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11"/>
    </row>
    <row r="512" spans="1:21">
      <c r="A512" s="5" t="s">
        <v>188</v>
      </c>
      <c r="B512" s="91">
        <f>SUM(B460:B510)</f>
        <v>0</v>
      </c>
      <c r="C512" s="91">
        <f t="shared" ref="C512:Q512" si="119">SUM(C460:C510)</f>
        <v>0</v>
      </c>
      <c r="D512" s="91">
        <f t="shared" si="119"/>
        <v>0</v>
      </c>
      <c r="E512" s="91">
        <f t="shared" si="119"/>
        <v>188658.63116222675</v>
      </c>
      <c r="F512" s="91">
        <f t="shared" si="119"/>
        <v>238808.3938762364</v>
      </c>
      <c r="G512" s="91">
        <f t="shared" si="119"/>
        <v>238808.3938762364</v>
      </c>
      <c r="H512" s="91">
        <f t="shared" si="119"/>
        <v>238808.3938762364</v>
      </c>
      <c r="I512" s="91">
        <f t="shared" si="119"/>
        <v>238808.3938762364</v>
      </c>
      <c r="J512" s="91">
        <f t="shared" si="119"/>
        <v>238808.3938762364</v>
      </c>
      <c r="K512" s="91">
        <f t="shared" si="119"/>
        <v>238808.3938762364</v>
      </c>
      <c r="L512" s="91">
        <f t="shared" si="119"/>
        <v>238808.3938762364</v>
      </c>
      <c r="M512" s="91">
        <f t="shared" si="119"/>
        <v>238808.3938762364</v>
      </c>
      <c r="N512" s="91">
        <f t="shared" si="119"/>
        <v>238808.3938762364</v>
      </c>
      <c r="O512" s="91">
        <f t="shared" si="119"/>
        <v>238808.3938762364</v>
      </c>
      <c r="P512" s="91">
        <f t="shared" si="119"/>
        <v>238808.3938762364</v>
      </c>
      <c r="Q512" s="91">
        <f t="shared" si="119"/>
        <v>389262.63619917282</v>
      </c>
      <c r="R512" s="91"/>
      <c r="S512" s="92">
        <f>SUM(B512:R512)</f>
        <v>3204813.5999999996</v>
      </c>
      <c r="T512" s="2">
        <f>Resource!C63*(1-'Phys Input'!$B$11)*'Phys Input'!$B$48</f>
        <v>3204813.5999999996</v>
      </c>
    </row>
    <row r="513" spans="1:20">
      <c r="A513" s="5" t="s">
        <v>246</v>
      </c>
      <c r="B513" s="177">
        <f>IF(B512=0,0,SUMPRODUCT(B460:B510,$U460:$U510)/B512)</f>
        <v>0</v>
      </c>
      <c r="C513" s="177">
        <f t="shared" ref="C513:Q513" si="120">IF(C512=0,0,SUMPRODUCT(C460:C510,$U460:$U510)/C512)</f>
        <v>0</v>
      </c>
      <c r="D513" s="177">
        <f t="shared" si="120"/>
        <v>0</v>
      </c>
      <c r="E513" s="177">
        <f t="shared" si="120"/>
        <v>0.42085</v>
      </c>
      <c r="F513" s="177">
        <f t="shared" si="120"/>
        <v>0.42084999999999989</v>
      </c>
      <c r="G513" s="177">
        <f t="shared" si="120"/>
        <v>0.42084999999999989</v>
      </c>
      <c r="H513" s="177">
        <f t="shared" si="120"/>
        <v>0.42084999999999995</v>
      </c>
      <c r="I513" s="177">
        <f t="shared" si="120"/>
        <v>0.42084999999999995</v>
      </c>
      <c r="J513" s="177">
        <f t="shared" si="120"/>
        <v>0.42084999999999995</v>
      </c>
      <c r="K513" s="177">
        <f t="shared" si="120"/>
        <v>0.42084999999999989</v>
      </c>
      <c r="L513" s="177">
        <f t="shared" si="120"/>
        <v>0.42084999999999989</v>
      </c>
      <c r="M513" s="177">
        <f t="shared" si="120"/>
        <v>0.42084999999999995</v>
      </c>
      <c r="N513" s="177">
        <f t="shared" si="120"/>
        <v>0.42084999999999995</v>
      </c>
      <c r="O513" s="177">
        <f t="shared" si="120"/>
        <v>0.42084999999999995</v>
      </c>
      <c r="P513" s="177">
        <f t="shared" si="120"/>
        <v>0.42084999999999995</v>
      </c>
      <c r="Q513" s="177">
        <f t="shared" si="120"/>
        <v>0.42084999999999995</v>
      </c>
      <c r="R513" s="177"/>
      <c r="S513" s="178">
        <f>SUMPRODUCT(B512:R512,B513:R513)/S512</f>
        <v>0.42085</v>
      </c>
      <c r="T513" s="176">
        <f>Resource!D61*'Phys Input'!$B$15/100</f>
        <v>0.42084999999999995</v>
      </c>
    </row>
    <row r="514" spans="1:20">
      <c r="A514" s="8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8"/>
    </row>
    <row r="517" spans="1:20">
      <c r="A517" s="13" t="s">
        <v>0</v>
      </c>
      <c r="B517" s="77"/>
      <c r="C517" s="77"/>
      <c r="D517" s="77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5"/>
    </row>
    <row r="518" spans="1:20">
      <c r="A518" s="16" t="str">
        <f>Title!$F$10</f>
        <v>ARTHUR RIVER MAGNESITE PROJECT</v>
      </c>
      <c r="B518" s="78"/>
      <c r="C518" s="78"/>
      <c r="D518" s="78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</row>
    <row r="519" spans="1:20">
      <c r="A519" s="16" t="str">
        <f>Title!$F$12</f>
        <v>ORDER OF MAGNITUDE COST STUDY: CALCINE PRODUCTION ONLY</v>
      </c>
      <c r="B519" s="78"/>
      <c r="C519" s="78"/>
      <c r="D519" s="78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</row>
    <row r="520" spans="1:20">
      <c r="A520" s="19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 t="str">
        <f>Title!$F$19</f>
        <v>3 October 2011</v>
      </c>
      <c r="S520" s="18"/>
    </row>
    <row r="521" spans="1:20">
      <c r="A521" s="20" t="s">
        <v>292</v>
      </c>
      <c r="B521" s="79"/>
      <c r="C521" s="79"/>
      <c r="D521" s="79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</row>
    <row r="522" spans="1:20">
      <c r="A522" s="46"/>
      <c r="B522" s="41" t="s">
        <v>26</v>
      </c>
      <c r="C522" s="41" t="s">
        <v>26</v>
      </c>
      <c r="D522" s="41" t="s">
        <v>26</v>
      </c>
      <c r="E522" s="41" t="s">
        <v>26</v>
      </c>
      <c r="F522" s="41" t="s">
        <v>26</v>
      </c>
      <c r="G522" s="41" t="s">
        <v>26</v>
      </c>
      <c r="H522" s="41" t="s">
        <v>26</v>
      </c>
      <c r="I522" s="41" t="s">
        <v>26</v>
      </c>
      <c r="J522" s="41" t="s">
        <v>26</v>
      </c>
      <c r="K522" s="41" t="s">
        <v>26</v>
      </c>
      <c r="L522" s="41" t="s">
        <v>26</v>
      </c>
      <c r="M522" s="41" t="s">
        <v>26</v>
      </c>
      <c r="N522" s="41" t="s">
        <v>26</v>
      </c>
      <c r="O522" s="41" t="s">
        <v>26</v>
      </c>
      <c r="P522" s="41" t="s">
        <v>26</v>
      </c>
      <c r="Q522" s="41" t="s">
        <v>26</v>
      </c>
      <c r="R522" s="41"/>
      <c r="S522" s="42" t="s">
        <v>5</v>
      </c>
      <c r="T522" s="86" t="s">
        <v>32</v>
      </c>
    </row>
    <row r="523" spans="1:20">
      <c r="A523" s="8"/>
      <c r="B523" s="43">
        <v>-3</v>
      </c>
      <c r="C523" s="43">
        <v>-2</v>
      </c>
      <c r="D523" s="43">
        <v>-1</v>
      </c>
      <c r="E523" s="43">
        <v>1</v>
      </c>
      <c r="F523" s="43">
        <v>2</v>
      </c>
      <c r="G523" s="43">
        <v>3</v>
      </c>
      <c r="H523" s="43">
        <v>4</v>
      </c>
      <c r="I523" s="43">
        <v>5</v>
      </c>
      <c r="J523" s="43">
        <v>6</v>
      </c>
      <c r="K523" s="43">
        <v>7</v>
      </c>
      <c r="L523" s="43">
        <v>8</v>
      </c>
      <c r="M523" s="43">
        <v>9</v>
      </c>
      <c r="N523" s="43">
        <v>10</v>
      </c>
      <c r="O523" s="43">
        <v>11</v>
      </c>
      <c r="P523" s="43">
        <v>12</v>
      </c>
      <c r="Q523" s="43">
        <v>13</v>
      </c>
      <c r="R523" s="43"/>
      <c r="S523" s="47"/>
    </row>
    <row r="524" spans="1:20">
      <c r="A524" s="5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11"/>
      <c r="T524" s="2"/>
    </row>
    <row r="525" spans="1:20">
      <c r="A525" s="39" t="s">
        <v>140</v>
      </c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11"/>
      <c r="T525" s="2"/>
    </row>
    <row r="526" spans="1:20">
      <c r="A526" s="5" t="s">
        <v>291</v>
      </c>
      <c r="B526" s="87"/>
      <c r="C526" s="87"/>
      <c r="D526" s="87">
        <f>D61</f>
        <v>426000</v>
      </c>
      <c r="E526" s="87">
        <f t="shared" ref="E526:Q526" si="121">E61</f>
        <v>24000</v>
      </c>
      <c r="F526" s="87">
        <f t="shared" si="121"/>
        <v>80000</v>
      </c>
      <c r="G526" s="87">
        <f t="shared" si="121"/>
        <v>108000</v>
      </c>
      <c r="H526" s="87">
        <f t="shared" si="121"/>
        <v>0</v>
      </c>
      <c r="I526" s="87">
        <f t="shared" si="121"/>
        <v>0</v>
      </c>
      <c r="J526" s="87">
        <f t="shared" si="121"/>
        <v>0</v>
      </c>
      <c r="K526" s="87">
        <f t="shared" si="121"/>
        <v>0</v>
      </c>
      <c r="L526" s="87">
        <f t="shared" si="121"/>
        <v>0</v>
      </c>
      <c r="M526" s="87">
        <f t="shared" si="121"/>
        <v>0</v>
      </c>
      <c r="N526" s="87">
        <f t="shared" si="121"/>
        <v>0</v>
      </c>
      <c r="O526" s="87">
        <f t="shared" si="121"/>
        <v>0</v>
      </c>
      <c r="P526" s="87">
        <f t="shared" si="121"/>
        <v>0</v>
      </c>
      <c r="Q526" s="87">
        <f t="shared" si="121"/>
        <v>0</v>
      </c>
      <c r="R526" s="87"/>
      <c r="S526" s="11">
        <f t="shared" ref="S526:S529" si="122">SUM(B526:R526)</f>
        <v>638000</v>
      </c>
      <c r="T526" s="2">
        <f>Resource!P63</f>
        <v>638000</v>
      </c>
    </row>
    <row r="527" spans="1:20">
      <c r="A527" s="5" t="s">
        <v>290</v>
      </c>
      <c r="B527" s="87"/>
      <c r="C527" s="87"/>
      <c r="D527" s="87">
        <f>D125</f>
        <v>47000</v>
      </c>
      <c r="E527" s="87">
        <f t="shared" ref="E527:Q527" si="123">E125</f>
        <v>60000</v>
      </c>
      <c r="F527" s="87">
        <f t="shared" si="123"/>
        <v>0</v>
      </c>
      <c r="G527" s="87">
        <f t="shared" si="123"/>
        <v>23213.821454983969</v>
      </c>
      <c r="H527" s="87">
        <f t="shared" si="123"/>
        <v>22488.571901219162</v>
      </c>
      <c r="I527" s="87">
        <f t="shared" si="123"/>
        <v>9297.6066437968711</v>
      </c>
      <c r="J527" s="87">
        <f t="shared" si="123"/>
        <v>0</v>
      </c>
      <c r="K527" s="87">
        <f t="shared" si="123"/>
        <v>0</v>
      </c>
      <c r="L527" s="87">
        <f t="shared" si="123"/>
        <v>0</v>
      </c>
      <c r="M527" s="87">
        <f t="shared" si="123"/>
        <v>0</v>
      </c>
      <c r="N527" s="87">
        <f t="shared" si="123"/>
        <v>0</v>
      </c>
      <c r="O527" s="87">
        <f t="shared" si="123"/>
        <v>0</v>
      </c>
      <c r="P527" s="87">
        <f t="shared" si="123"/>
        <v>0</v>
      </c>
      <c r="Q527" s="87">
        <f t="shared" si="123"/>
        <v>0</v>
      </c>
      <c r="R527" s="87"/>
      <c r="S527" s="11">
        <f t="shared" si="122"/>
        <v>162000</v>
      </c>
      <c r="T527" s="2">
        <f>Resource!R63</f>
        <v>162000</v>
      </c>
    </row>
    <row r="528" spans="1:20">
      <c r="A528" s="5" t="s">
        <v>289</v>
      </c>
      <c r="B528" s="87"/>
      <c r="C528" s="87"/>
      <c r="D528" s="87">
        <f>D189</f>
        <v>9000</v>
      </c>
      <c r="E528" s="87">
        <f t="shared" ref="E528:Q528" si="124">E189</f>
        <v>88537.345377623758</v>
      </c>
      <c r="F528" s="87">
        <f t="shared" si="124"/>
        <v>40815.933934457862</v>
      </c>
      <c r="G528" s="87">
        <f t="shared" si="124"/>
        <v>14413.997506648329</v>
      </c>
      <c r="H528" s="87">
        <f t="shared" si="124"/>
        <v>28110.714876523951</v>
      </c>
      <c r="I528" s="87">
        <f t="shared" si="124"/>
        <v>28349.122758769019</v>
      </c>
      <c r="J528" s="87">
        <f t="shared" si="124"/>
        <v>28522.011413845881</v>
      </c>
      <c r="K528" s="87">
        <f t="shared" si="124"/>
        <v>29056.537029011633</v>
      </c>
      <c r="L528" s="87">
        <f t="shared" si="124"/>
        <v>28388.92002948538</v>
      </c>
      <c r="M528" s="87">
        <f t="shared" si="124"/>
        <v>20957.692369220633</v>
      </c>
      <c r="N528" s="87">
        <f t="shared" si="124"/>
        <v>45971.449659821999</v>
      </c>
      <c r="O528" s="87">
        <f t="shared" si="124"/>
        <v>31751.84230893651</v>
      </c>
      <c r="P528" s="87">
        <f t="shared" si="124"/>
        <v>33624.432735655035</v>
      </c>
      <c r="Q528" s="87">
        <f t="shared" si="124"/>
        <v>0</v>
      </c>
      <c r="R528" s="87"/>
      <c r="S528" s="11">
        <f t="shared" si="122"/>
        <v>427500</v>
      </c>
      <c r="T528" s="2">
        <f>Resource!T63</f>
        <v>427500</v>
      </c>
    </row>
    <row r="529" spans="1:20">
      <c r="A529" s="5" t="s">
        <v>297</v>
      </c>
      <c r="B529" s="87"/>
      <c r="C529" s="87"/>
      <c r="D529" s="87">
        <f>SUM(D526:D528)</f>
        <v>482000</v>
      </c>
      <c r="E529" s="87">
        <f t="shared" ref="E529:Q529" si="125">SUM(E526:E528)</f>
        <v>172537.34537762374</v>
      </c>
      <c r="F529" s="87">
        <f t="shared" si="125"/>
        <v>120815.93393445786</v>
      </c>
      <c r="G529" s="87">
        <f t="shared" si="125"/>
        <v>145627.81896163229</v>
      </c>
      <c r="H529" s="87">
        <f t="shared" si="125"/>
        <v>50599.286777743109</v>
      </c>
      <c r="I529" s="87">
        <f t="shared" si="125"/>
        <v>37646.729402565892</v>
      </c>
      <c r="J529" s="87">
        <f t="shared" si="125"/>
        <v>28522.011413845881</v>
      </c>
      <c r="K529" s="87">
        <f t="shared" si="125"/>
        <v>29056.537029011633</v>
      </c>
      <c r="L529" s="87">
        <f t="shared" si="125"/>
        <v>28388.92002948538</v>
      </c>
      <c r="M529" s="87">
        <f t="shared" si="125"/>
        <v>20957.692369220633</v>
      </c>
      <c r="N529" s="87">
        <f t="shared" si="125"/>
        <v>45971.449659821999</v>
      </c>
      <c r="O529" s="87">
        <f t="shared" si="125"/>
        <v>31751.84230893651</v>
      </c>
      <c r="P529" s="87">
        <f t="shared" si="125"/>
        <v>33624.432735655035</v>
      </c>
      <c r="Q529" s="87">
        <f t="shared" si="125"/>
        <v>0</v>
      </c>
      <c r="R529" s="87"/>
      <c r="S529" s="11">
        <f t="shared" si="122"/>
        <v>1227499.9999999998</v>
      </c>
      <c r="T529" s="2">
        <f>Resource!P63+Resource!R63+Resource!T63</f>
        <v>1227500</v>
      </c>
    </row>
    <row r="530" spans="1:20">
      <c r="A530" s="5" t="s">
        <v>286</v>
      </c>
      <c r="B530" s="87"/>
      <c r="C530" s="87"/>
      <c r="D530" s="87"/>
      <c r="E530" s="87">
        <f>E253</f>
        <v>83195.95621748516</v>
      </c>
      <c r="F530" s="87">
        <f t="shared" ref="F530:Q530" si="126">F253</f>
        <v>114713.96655433523</v>
      </c>
      <c r="G530" s="87">
        <f t="shared" si="126"/>
        <v>102292.2508949051</v>
      </c>
      <c r="H530" s="87">
        <f t="shared" si="126"/>
        <v>100144.42174761658</v>
      </c>
      <c r="I530" s="87">
        <f t="shared" si="126"/>
        <v>100728.90384925927</v>
      </c>
      <c r="J530" s="87">
        <f t="shared" si="126"/>
        <v>101159.05327100038</v>
      </c>
      <c r="K530" s="87">
        <f t="shared" si="126"/>
        <v>102824.16538736425</v>
      </c>
      <c r="L530" s="87">
        <f t="shared" si="126"/>
        <v>100421.71913121705</v>
      </c>
      <c r="M530" s="87">
        <f t="shared" si="126"/>
        <v>101504.31017769457</v>
      </c>
      <c r="N530" s="87">
        <f t="shared" si="126"/>
        <v>104068.35574427506</v>
      </c>
      <c r="O530" s="87">
        <f t="shared" si="126"/>
        <v>106797.29098655735</v>
      </c>
      <c r="P530" s="87">
        <f t="shared" si="126"/>
        <v>108021.14065095609</v>
      </c>
      <c r="Q530" s="87">
        <f t="shared" si="126"/>
        <v>161603.46538733397</v>
      </c>
      <c r="R530" s="87"/>
      <c r="S530" s="11">
        <f>SUM(B530:R530)</f>
        <v>1387475</v>
      </c>
      <c r="T530" s="2">
        <f>Resource!K63</f>
        <v>1387475</v>
      </c>
    </row>
    <row r="531" spans="1:20">
      <c r="A531" s="5" t="s">
        <v>298</v>
      </c>
      <c r="B531" s="87"/>
      <c r="C531" s="87"/>
      <c r="D531" s="87">
        <f>SUM(D529:D530)</f>
        <v>482000</v>
      </c>
      <c r="E531" s="87">
        <f t="shared" ref="E531:Q531" si="127">SUM(E529:E530)</f>
        <v>255733.3015951089</v>
      </c>
      <c r="F531" s="87">
        <f t="shared" si="127"/>
        <v>235529.90048879309</v>
      </c>
      <c r="G531" s="87">
        <f t="shared" si="127"/>
        <v>247920.06985653739</v>
      </c>
      <c r="H531" s="87">
        <f t="shared" si="127"/>
        <v>150743.70852535969</v>
      </c>
      <c r="I531" s="87">
        <f t="shared" si="127"/>
        <v>138375.63325182517</v>
      </c>
      <c r="J531" s="87">
        <f t="shared" si="127"/>
        <v>129681.06468484626</v>
      </c>
      <c r="K531" s="87">
        <f t="shared" si="127"/>
        <v>131880.70241637589</v>
      </c>
      <c r="L531" s="87">
        <f t="shared" si="127"/>
        <v>128810.63916070243</v>
      </c>
      <c r="M531" s="87">
        <f t="shared" si="127"/>
        <v>122462.0025469152</v>
      </c>
      <c r="N531" s="87">
        <f t="shared" si="127"/>
        <v>150039.80540409707</v>
      </c>
      <c r="O531" s="87">
        <f t="shared" si="127"/>
        <v>138549.13329549384</v>
      </c>
      <c r="P531" s="87">
        <f t="shared" si="127"/>
        <v>141645.57338661113</v>
      </c>
      <c r="Q531" s="87">
        <f t="shared" si="127"/>
        <v>161603.46538733397</v>
      </c>
      <c r="R531" s="87"/>
      <c r="S531" s="11">
        <f>SUM(B531:R531)</f>
        <v>2614975</v>
      </c>
      <c r="T531" s="2">
        <f>Resource!K63+Resource!P63+Resource!R63+Resource!T63</f>
        <v>2614975</v>
      </c>
    </row>
    <row r="532" spans="1:20">
      <c r="A532" s="5" t="s">
        <v>284</v>
      </c>
      <c r="B532" s="4"/>
      <c r="C532" s="4"/>
      <c r="D532" s="4"/>
      <c r="E532" s="31">
        <f>E317</f>
        <v>240254.96293236184</v>
      </c>
      <c r="F532" s="31">
        <f t="shared" ref="F532:Q532" si="128">F317</f>
        <v>331942.81188018218</v>
      </c>
      <c r="G532" s="31">
        <f t="shared" si="128"/>
        <v>295315.81752015901</v>
      </c>
      <c r="H532" s="31">
        <f t="shared" si="128"/>
        <v>288976.74339492241</v>
      </c>
      <c r="I532" s="31">
        <f t="shared" si="128"/>
        <v>290701.88652194384</v>
      </c>
      <c r="J532" s="31">
        <f t="shared" si="128"/>
        <v>291971.00162641361</v>
      </c>
      <c r="K532" s="31">
        <f t="shared" si="128"/>
        <v>296881.05285332788</v>
      </c>
      <c r="L532" s="31">
        <f t="shared" si="128"/>
        <v>289796.05788969755</v>
      </c>
      <c r="M532" s="31">
        <f t="shared" si="128"/>
        <v>292990.0092826584</v>
      </c>
      <c r="N532" s="31">
        <f t="shared" si="128"/>
        <v>300553.20540701691</v>
      </c>
      <c r="O532" s="31">
        <f t="shared" si="128"/>
        <v>308601.61795719637</v>
      </c>
      <c r="P532" s="31">
        <f t="shared" si="128"/>
        <v>312209.33301242912</v>
      </c>
      <c r="Q532" s="31">
        <f t="shared" si="128"/>
        <v>466306.9997216909</v>
      </c>
      <c r="R532" s="4"/>
      <c r="S532" s="11">
        <f>SUM(B532:R532)</f>
        <v>4006501.5</v>
      </c>
      <c r="T532" s="2">
        <f>Resource!L63</f>
        <v>4006501.5</v>
      </c>
    </row>
    <row r="533" spans="1:20">
      <c r="A533" s="5" t="s">
        <v>285</v>
      </c>
      <c r="B533" s="4"/>
      <c r="C533" s="4"/>
      <c r="D533" s="4"/>
      <c r="E533" s="10">
        <f>E318</f>
        <v>0.39244368413237435</v>
      </c>
      <c r="F533" s="10">
        <f t="shared" ref="F533:Q533" si="129">F318</f>
        <v>0.35489120015648512</v>
      </c>
      <c r="G533" s="10">
        <f t="shared" si="129"/>
        <v>0.39785379212584487</v>
      </c>
      <c r="H533" s="10">
        <f t="shared" si="129"/>
        <v>0.4067690601607985</v>
      </c>
      <c r="I533" s="10">
        <f t="shared" si="129"/>
        <v>0.40429738741439269</v>
      </c>
      <c r="J533" s="10">
        <f t="shared" si="129"/>
        <v>0.40252914006061835</v>
      </c>
      <c r="K533" s="10">
        <f t="shared" si="129"/>
        <v>0.39599639526481017</v>
      </c>
      <c r="L533" s="10">
        <f t="shared" si="129"/>
        <v>0.40553808102212624</v>
      </c>
      <c r="M533" s="10">
        <f t="shared" si="129"/>
        <v>0.40109806929827851</v>
      </c>
      <c r="N533" s="10">
        <f t="shared" si="129"/>
        <v>0.39104950919037174</v>
      </c>
      <c r="O533" s="10">
        <f t="shared" si="129"/>
        <v>0.38096579060735769</v>
      </c>
      <c r="P533" s="10">
        <f t="shared" si="129"/>
        <v>0.37671776862591738</v>
      </c>
      <c r="Q533" s="10">
        <f t="shared" si="129"/>
        <v>0.40740680215132752</v>
      </c>
      <c r="R533" s="4"/>
      <c r="S533" s="165">
        <f>SUMPRODUCT(B532:R532,B533:R533)/S532</f>
        <v>0.39373015884307039</v>
      </c>
      <c r="T533" s="176">
        <f>Resource!M63/100</f>
        <v>0.39373015884307039</v>
      </c>
    </row>
    <row r="534" spans="1:20">
      <c r="A534" s="6"/>
      <c r="B534" s="4"/>
      <c r="C534" s="4"/>
      <c r="D534" s="4"/>
      <c r="E534" s="31"/>
      <c r="F534" s="31"/>
      <c r="G534" s="31"/>
      <c r="H534" s="31"/>
      <c r="I534" s="31"/>
      <c r="J534" s="31"/>
      <c r="K534" s="31"/>
      <c r="L534" s="31"/>
      <c r="M534" s="31"/>
      <c r="N534" s="4"/>
      <c r="O534" s="4"/>
      <c r="P534" s="4"/>
      <c r="Q534" s="4"/>
      <c r="R534" s="4"/>
      <c r="S534" s="11"/>
      <c r="T534" s="2"/>
    </row>
    <row r="535" spans="1:20">
      <c r="A535" s="39" t="s">
        <v>7</v>
      </c>
      <c r="B535" s="85"/>
      <c r="C535" s="85"/>
      <c r="D535" s="85"/>
      <c r="E535" s="4"/>
      <c r="F535" s="4"/>
      <c r="G535" s="4"/>
      <c r="H535" s="4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11"/>
    </row>
    <row r="536" spans="1:20">
      <c r="A536" s="5" t="s">
        <v>187</v>
      </c>
      <c r="B536" s="85"/>
      <c r="C536" s="85"/>
      <c r="D536" s="85"/>
      <c r="E536" s="31">
        <f>E537/(1-'Phys Input'!$B$39)</f>
        <v>4166.666666666667</v>
      </c>
      <c r="F536" s="31">
        <f>F537/(1-'Phys Input'!$B$39)</f>
        <v>4166.666666666667</v>
      </c>
      <c r="G536" s="31">
        <f>G537/(1-'Phys Input'!$B$39)</f>
        <v>4166.666666666667</v>
      </c>
      <c r="H536" s="31">
        <f>H537/(1-'Phys Input'!$B$39)</f>
        <v>4166.666666666667</v>
      </c>
      <c r="I536" s="31">
        <f>I537/(1-'Phys Input'!$B$39)</f>
        <v>4166.666666666667</v>
      </c>
      <c r="J536" s="31">
        <f>J537/(1-'Phys Input'!$B$39)</f>
        <v>4166.666666666667</v>
      </c>
      <c r="K536" s="31">
        <f>K537/(1-'Phys Input'!$B$39)</f>
        <v>4166.666666666667</v>
      </c>
      <c r="L536" s="31">
        <f>L537/(1-'Phys Input'!$B$39)</f>
        <v>4166.666666666667</v>
      </c>
      <c r="M536" s="31">
        <f>M537/(1-'Phys Input'!$B$39)</f>
        <v>4166.666666666667</v>
      </c>
      <c r="N536" s="31">
        <f>N537/(1-'Phys Input'!$B$39)</f>
        <v>4166.666666666667</v>
      </c>
      <c r="O536" s="31">
        <f>O537/(1-'Phys Input'!$B$39)</f>
        <v>4166.666666666667</v>
      </c>
      <c r="P536" s="31">
        <f>P537/(1-'Phys Input'!$B$39)</f>
        <v>4166.666666666667</v>
      </c>
      <c r="Q536" s="31"/>
      <c r="R536" s="31"/>
      <c r="S536" s="11"/>
    </row>
    <row r="537" spans="1:20">
      <c r="A537" s="5" t="s">
        <v>188</v>
      </c>
      <c r="B537" s="4"/>
      <c r="C537" s="4"/>
      <c r="D537" s="4"/>
      <c r="E537" s="31">
        <f>E382</f>
        <v>4000</v>
      </c>
      <c r="F537" s="31">
        <f t="shared" ref="F537:P537" si="130">F382</f>
        <v>4000</v>
      </c>
      <c r="G537" s="31">
        <f t="shared" si="130"/>
        <v>4000</v>
      </c>
      <c r="H537" s="31">
        <f t="shared" si="130"/>
        <v>4000</v>
      </c>
      <c r="I537" s="31">
        <f t="shared" si="130"/>
        <v>4000</v>
      </c>
      <c r="J537" s="31">
        <f t="shared" si="130"/>
        <v>4000</v>
      </c>
      <c r="K537" s="31">
        <f t="shared" si="130"/>
        <v>4000</v>
      </c>
      <c r="L537" s="31">
        <f t="shared" si="130"/>
        <v>4000</v>
      </c>
      <c r="M537" s="31">
        <f t="shared" si="130"/>
        <v>4000</v>
      </c>
      <c r="N537" s="31">
        <f t="shared" si="130"/>
        <v>4000</v>
      </c>
      <c r="O537" s="31">
        <f t="shared" si="130"/>
        <v>4000</v>
      </c>
      <c r="P537" s="31">
        <f t="shared" si="130"/>
        <v>4000</v>
      </c>
      <c r="Q537" s="31"/>
      <c r="R537" s="31"/>
      <c r="S537" s="11"/>
    </row>
    <row r="538" spans="1:20">
      <c r="A538" s="5" t="s">
        <v>246</v>
      </c>
      <c r="B538" s="4"/>
      <c r="C538" s="4"/>
      <c r="D538" s="4"/>
      <c r="E538" s="10">
        <f>E383</f>
        <v>0.35614302804732156</v>
      </c>
      <c r="F538" s="10">
        <f t="shared" ref="F538:P538" si="131">F383</f>
        <v>0.42033917114617642</v>
      </c>
      <c r="G538" s="10">
        <f t="shared" si="131"/>
        <v>0.4067690601607985</v>
      </c>
      <c r="H538" s="10">
        <f t="shared" si="131"/>
        <v>0.4067690601607985</v>
      </c>
      <c r="I538" s="10">
        <f t="shared" si="131"/>
        <v>0.40257278970488153</v>
      </c>
      <c r="J538" s="10">
        <f t="shared" si="131"/>
        <v>0.39758226176409261</v>
      </c>
      <c r="K538" s="10">
        <f t="shared" si="131"/>
        <v>0.4018393700787401</v>
      </c>
      <c r="L538" s="10">
        <f t="shared" si="131"/>
        <v>0.39597409139978401</v>
      </c>
      <c r="M538" s="10">
        <f t="shared" si="131"/>
        <v>0.38870627336933944</v>
      </c>
      <c r="N538" s="10">
        <f t="shared" si="131"/>
        <v>0.38480255860086637</v>
      </c>
      <c r="O538" s="10">
        <f t="shared" si="131"/>
        <v>0.38976782077393074</v>
      </c>
      <c r="P538" s="10">
        <f t="shared" si="131"/>
        <v>0.40676906016079839</v>
      </c>
      <c r="Q538" s="76"/>
      <c r="R538" s="76"/>
      <c r="S538" s="82"/>
    </row>
    <row r="539" spans="1:20">
      <c r="A539" s="6"/>
      <c r="B539" s="4"/>
      <c r="C539" s="4"/>
      <c r="D539" s="4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11"/>
    </row>
    <row r="540" spans="1:20">
      <c r="A540" s="39" t="s">
        <v>736</v>
      </c>
      <c r="B540" s="4"/>
      <c r="C540" s="4"/>
      <c r="D540" s="4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11"/>
    </row>
    <row r="541" spans="1:20">
      <c r="A541" s="5" t="s">
        <v>181</v>
      </c>
      <c r="B541" s="4"/>
      <c r="C541" s="4"/>
      <c r="D541" s="4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11"/>
    </row>
    <row r="542" spans="1:20">
      <c r="A542" s="5" t="s">
        <v>182</v>
      </c>
      <c r="B542" s="4"/>
      <c r="C542" s="4"/>
      <c r="D542" s="4"/>
      <c r="E542" s="31">
        <f>E543/(1-'Phys Input'!$B$39)</f>
        <v>246098.91972121026</v>
      </c>
      <c r="F542" s="31">
        <f>F543/(1-'Phys Input'!$B$39)</f>
        <v>345773.76237518981</v>
      </c>
      <c r="G542" s="31">
        <f>G543/(1-'Phys Input'!$B$39)</f>
        <v>307620.64325016562</v>
      </c>
      <c r="H542" s="31">
        <f>H543/(1-'Phys Input'!$B$39)</f>
        <v>301017.44103637751</v>
      </c>
      <c r="I542" s="31">
        <f>I543/(1-'Phys Input'!$B$39)</f>
        <v>302814.46512702486</v>
      </c>
      <c r="J542" s="31">
        <f>J543/(1-'Phys Input'!$B$39)</f>
        <v>304136.4600275142</v>
      </c>
      <c r="K542" s="31">
        <f>K543/(1-'Phys Input'!$B$39)</f>
        <v>309251.09672221658</v>
      </c>
      <c r="L542" s="31">
        <f>L543/(1-'Phys Input'!$B$39)</f>
        <v>301870.89363510162</v>
      </c>
      <c r="M542" s="31">
        <f>M543/(1-'Phys Input'!$B$39)</f>
        <v>305197.92633610254</v>
      </c>
      <c r="N542" s="31">
        <f>N543/(1-'Phys Input'!$B$39)</f>
        <v>313076.2556323093</v>
      </c>
      <c r="O542" s="31">
        <f>O543/(1-'Phys Input'!$B$39)</f>
        <v>321460.01870541292</v>
      </c>
      <c r="P542" s="31">
        <f>P543/(1-'Phys Input'!$B$39)</f>
        <v>325218.05522128037</v>
      </c>
      <c r="Q542" s="31">
        <f>Q543/(1-'Phys Input'!$B$39)</f>
        <v>489903.12471009471</v>
      </c>
      <c r="R542" s="31"/>
      <c r="S542" s="11">
        <f>SUM(B542:R542)</f>
        <v>4173439.0625000005</v>
      </c>
    </row>
    <row r="543" spans="1:20">
      <c r="A543" s="5" t="s">
        <v>183</v>
      </c>
      <c r="B543" s="4"/>
      <c r="C543" s="4"/>
      <c r="D543" s="4"/>
      <c r="E543" s="31">
        <f>E447</f>
        <v>236254.96293236184</v>
      </c>
      <c r="F543" s="31">
        <f t="shared" ref="F543:Q543" si="132">F447</f>
        <v>331942.81188018218</v>
      </c>
      <c r="G543" s="31">
        <f t="shared" si="132"/>
        <v>295315.81752015901</v>
      </c>
      <c r="H543" s="31">
        <f t="shared" si="132"/>
        <v>288976.74339492241</v>
      </c>
      <c r="I543" s="31">
        <f t="shared" si="132"/>
        <v>290701.88652194384</v>
      </c>
      <c r="J543" s="31">
        <f t="shared" si="132"/>
        <v>291971.00162641361</v>
      </c>
      <c r="K543" s="31">
        <f t="shared" si="132"/>
        <v>296881.05285332788</v>
      </c>
      <c r="L543" s="31">
        <f t="shared" si="132"/>
        <v>289796.05788969755</v>
      </c>
      <c r="M543" s="31">
        <f t="shared" si="132"/>
        <v>292990.0092826584</v>
      </c>
      <c r="N543" s="31">
        <f t="shared" si="132"/>
        <v>300553.20540701691</v>
      </c>
      <c r="O543" s="31">
        <f t="shared" si="132"/>
        <v>308601.61795719637</v>
      </c>
      <c r="P543" s="31">
        <f t="shared" si="132"/>
        <v>312209.33301242912</v>
      </c>
      <c r="Q543" s="31">
        <f t="shared" si="132"/>
        <v>470306.9997216909</v>
      </c>
      <c r="R543" s="31"/>
      <c r="S543" s="11">
        <f>SUM(B543:R543)</f>
        <v>4006501.5</v>
      </c>
    </row>
    <row r="544" spans="1:20">
      <c r="A544" s="5" t="s">
        <v>258</v>
      </c>
      <c r="B544" s="4"/>
      <c r="C544" s="4"/>
      <c r="D544" s="4"/>
      <c r="E544" s="10">
        <f>E448</f>
        <v>0.39305828550429045</v>
      </c>
      <c r="F544" s="10">
        <f t="shared" ref="F544:Q544" si="133">F448</f>
        <v>0.35411761939737502</v>
      </c>
      <c r="G544" s="10">
        <f t="shared" si="133"/>
        <v>0.39803759685529455</v>
      </c>
      <c r="H544" s="10">
        <f t="shared" si="133"/>
        <v>0.4067690601607985</v>
      </c>
      <c r="I544" s="10">
        <f t="shared" si="133"/>
        <v>0.40435512725923678</v>
      </c>
      <c r="J544" s="10">
        <f t="shared" si="133"/>
        <v>0.40259751024687646</v>
      </c>
      <c r="K544" s="10">
        <f t="shared" si="133"/>
        <v>0.39593903750117077</v>
      </c>
      <c r="L544" s="10">
        <f t="shared" si="133"/>
        <v>0.40561903835083074</v>
      </c>
      <c r="M544" s="10">
        <f t="shared" si="133"/>
        <v>0.40119729204035415</v>
      </c>
      <c r="N544" s="10">
        <f t="shared" si="133"/>
        <v>0.3911014629170097</v>
      </c>
      <c r="O544" s="10">
        <f t="shared" si="133"/>
        <v>0.38090143239425533</v>
      </c>
      <c r="P544" s="10">
        <f t="shared" si="133"/>
        <v>0.3764999501613272</v>
      </c>
      <c r="Q544" s="10">
        <f t="shared" si="133"/>
        <v>0.40740137810285781</v>
      </c>
      <c r="R544" s="31"/>
      <c r="S544" s="165">
        <f>SUMPRODUCT(B543:R543,B544:R544)/S543</f>
        <v>0.39373015884307044</v>
      </c>
    </row>
    <row r="545" spans="1:20">
      <c r="A545" s="5" t="s">
        <v>185</v>
      </c>
      <c r="B545" s="4"/>
      <c r="C545" s="4"/>
      <c r="D545" s="4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11"/>
    </row>
    <row r="546" spans="1:20">
      <c r="A546" s="5" t="s">
        <v>182</v>
      </c>
      <c r="B546" s="4"/>
      <c r="C546" s="4"/>
      <c r="D546" s="4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11"/>
    </row>
    <row r="547" spans="1:20">
      <c r="A547" s="5" t="s">
        <v>183</v>
      </c>
      <c r="B547" s="4"/>
      <c r="C547" s="4"/>
      <c r="D547" s="4"/>
      <c r="E547" s="31">
        <f>E543-E551</f>
        <v>47596.33177013509</v>
      </c>
      <c r="F547" s="31">
        <f t="shared" ref="F547:Q547" si="134">F543-F551</f>
        <v>93134.418003945786</v>
      </c>
      <c r="G547" s="31">
        <f t="shared" si="134"/>
        <v>56507.423643922608</v>
      </c>
      <c r="H547" s="31">
        <f t="shared" si="134"/>
        <v>50168.349518686009</v>
      </c>
      <c r="I547" s="31">
        <f t="shared" si="134"/>
        <v>51893.492645707447</v>
      </c>
      <c r="J547" s="31">
        <f t="shared" si="134"/>
        <v>53162.607750177209</v>
      </c>
      <c r="K547" s="31">
        <f t="shared" si="134"/>
        <v>58072.658977091487</v>
      </c>
      <c r="L547" s="31">
        <f t="shared" si="134"/>
        <v>50987.664013461152</v>
      </c>
      <c r="M547" s="31">
        <f t="shared" si="134"/>
        <v>54181.615406422003</v>
      </c>
      <c r="N547" s="31">
        <f t="shared" si="134"/>
        <v>61744.811530780513</v>
      </c>
      <c r="O547" s="31">
        <f t="shared" si="134"/>
        <v>69793.224080959975</v>
      </c>
      <c r="P547" s="31">
        <f t="shared" si="134"/>
        <v>73400.939136192726</v>
      </c>
      <c r="Q547" s="31">
        <f t="shared" si="134"/>
        <v>81044.363522518077</v>
      </c>
      <c r="R547" s="31"/>
      <c r="S547" s="11">
        <f>SUM(B547:R547)</f>
        <v>801687.9</v>
      </c>
    </row>
    <row r="548" spans="1:20">
      <c r="A548" s="5" t="s">
        <v>258</v>
      </c>
      <c r="B548" s="4"/>
      <c r="C548" s="4"/>
      <c r="D548" s="4"/>
      <c r="E548" s="10">
        <f>IF(E547=0,0,(E543*E544-E551*E552)/E547)</f>
        <v>0.28289965311779497</v>
      </c>
      <c r="F548" s="10">
        <f t="shared" ref="F548:Q548" si="135">IF(F547=0,0,(F543*F544-F551*F552)/F547)</f>
        <v>0.18300737924345692</v>
      </c>
      <c r="G548" s="10">
        <f t="shared" si="135"/>
        <v>0.30162914281263359</v>
      </c>
      <c r="H548" s="10">
        <f t="shared" si="135"/>
        <v>0.33974180772916057</v>
      </c>
      <c r="I548" s="10">
        <f t="shared" si="135"/>
        <v>0.32844745819352</v>
      </c>
      <c r="J548" s="10">
        <f t="shared" si="135"/>
        <v>0.32060665338994654</v>
      </c>
      <c r="K548" s="10">
        <f t="shared" si="135"/>
        <v>0.2934993171742043</v>
      </c>
      <c r="L548" s="10">
        <f t="shared" si="135"/>
        <v>0.33428253845414269</v>
      </c>
      <c r="M548" s="10">
        <f t="shared" si="135"/>
        <v>0.31457692112750252</v>
      </c>
      <c r="N548" s="10">
        <f t="shared" si="135"/>
        <v>0.27604401622912028</v>
      </c>
      <c r="O548" s="10">
        <f t="shared" si="135"/>
        <v>0.24421118211268522</v>
      </c>
      <c r="P548" s="10">
        <f t="shared" si="135"/>
        <v>0.23220800655754076</v>
      </c>
      <c r="Q548" s="10">
        <f t="shared" si="135"/>
        <v>0.34280655885336225</v>
      </c>
      <c r="R548" s="31"/>
      <c r="S548" s="165">
        <f>IF(S547=0,0,SUMPRODUCT(B547:R547,B548:R548)/S547)</f>
        <v>0.28531635370822012</v>
      </c>
    </row>
    <row r="549" spans="1:20">
      <c r="A549" s="5" t="s">
        <v>186</v>
      </c>
      <c r="B549" s="4"/>
      <c r="C549" s="4"/>
      <c r="D549" s="4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11"/>
    </row>
    <row r="550" spans="1:20">
      <c r="A550" s="5" t="s">
        <v>182</v>
      </c>
      <c r="B550" s="4"/>
      <c r="C550" s="4"/>
      <c r="D550" s="4"/>
      <c r="E550" s="31">
        <f>E551/(1-'Phys Input'!$B$39)</f>
        <v>196519.40746065287</v>
      </c>
      <c r="F550" s="31">
        <f>F551/(1-'Phys Input'!$B$39)</f>
        <v>248758.7436210796</v>
      </c>
      <c r="G550" s="31">
        <f>G551/(1-'Phys Input'!$B$39)</f>
        <v>248758.7436210796</v>
      </c>
      <c r="H550" s="31">
        <f>H551/(1-'Phys Input'!$B$39)</f>
        <v>248758.7436210796</v>
      </c>
      <c r="I550" s="31">
        <f>I551/(1-'Phys Input'!$B$39)</f>
        <v>248758.7436210796</v>
      </c>
      <c r="J550" s="31">
        <f>J551/(1-'Phys Input'!$B$39)</f>
        <v>248758.7436210796</v>
      </c>
      <c r="K550" s="31">
        <f>K551/(1-'Phys Input'!$B$39)</f>
        <v>248758.7436210796</v>
      </c>
      <c r="L550" s="31">
        <f>L551/(1-'Phys Input'!$B$39)</f>
        <v>248758.7436210796</v>
      </c>
      <c r="M550" s="31">
        <f>M551/(1-'Phys Input'!$B$39)</f>
        <v>248758.7436210796</v>
      </c>
      <c r="N550" s="31">
        <f>N551/(1-'Phys Input'!$B$39)</f>
        <v>248758.7436210796</v>
      </c>
      <c r="O550" s="31">
        <f>O551/(1-'Phys Input'!$B$39)</f>
        <v>248758.7436210796</v>
      </c>
      <c r="P550" s="31">
        <f>P551/(1-'Phys Input'!$B$39)</f>
        <v>248758.7436210796</v>
      </c>
      <c r="Q550" s="31">
        <f>Q551/(1-'Phys Input'!$B$39)</f>
        <v>405481.9127074717</v>
      </c>
      <c r="R550" s="31"/>
      <c r="S550" s="11">
        <f>SUM(B550:R550)</f>
        <v>3338347.5000000009</v>
      </c>
    </row>
    <row r="551" spans="1:20">
      <c r="A551" s="5" t="s">
        <v>183</v>
      </c>
      <c r="B551" s="4"/>
      <c r="C551" s="4"/>
      <c r="D551" s="4"/>
      <c r="E551" s="31">
        <f>E512</f>
        <v>188658.63116222675</v>
      </c>
      <c r="F551" s="31">
        <f t="shared" ref="F551:Q551" si="136">F512</f>
        <v>238808.3938762364</v>
      </c>
      <c r="G551" s="31">
        <f t="shared" si="136"/>
        <v>238808.3938762364</v>
      </c>
      <c r="H551" s="31">
        <f t="shared" si="136"/>
        <v>238808.3938762364</v>
      </c>
      <c r="I551" s="31">
        <f t="shared" si="136"/>
        <v>238808.3938762364</v>
      </c>
      <c r="J551" s="31">
        <f t="shared" si="136"/>
        <v>238808.3938762364</v>
      </c>
      <c r="K551" s="31">
        <f t="shared" si="136"/>
        <v>238808.3938762364</v>
      </c>
      <c r="L551" s="31">
        <f t="shared" si="136"/>
        <v>238808.3938762364</v>
      </c>
      <c r="M551" s="31">
        <f t="shared" si="136"/>
        <v>238808.3938762364</v>
      </c>
      <c r="N551" s="31">
        <f t="shared" si="136"/>
        <v>238808.3938762364</v>
      </c>
      <c r="O551" s="31">
        <f t="shared" si="136"/>
        <v>238808.3938762364</v>
      </c>
      <c r="P551" s="31">
        <f t="shared" si="136"/>
        <v>238808.3938762364</v>
      </c>
      <c r="Q551" s="31">
        <f t="shared" si="136"/>
        <v>389262.63619917282</v>
      </c>
      <c r="R551" s="31"/>
      <c r="S551" s="11">
        <f>SUM(B551:R551)</f>
        <v>3204813.5999999996</v>
      </c>
      <c r="T551" s="2">
        <f>T512</f>
        <v>3204813.5999999996</v>
      </c>
    </row>
    <row r="552" spans="1:20">
      <c r="A552" s="5" t="s">
        <v>258</v>
      </c>
      <c r="B552" s="4"/>
      <c r="C552" s="4"/>
      <c r="D552" s="4"/>
      <c r="E552" s="10">
        <f>E513</f>
        <v>0.42085</v>
      </c>
      <c r="F552" s="10">
        <f t="shared" ref="F552:Q552" si="137">F513</f>
        <v>0.42084999999999989</v>
      </c>
      <c r="G552" s="10">
        <f t="shared" si="137"/>
        <v>0.42084999999999989</v>
      </c>
      <c r="H552" s="10">
        <f t="shared" si="137"/>
        <v>0.42084999999999995</v>
      </c>
      <c r="I552" s="10">
        <f t="shared" si="137"/>
        <v>0.42084999999999995</v>
      </c>
      <c r="J552" s="10">
        <f t="shared" si="137"/>
        <v>0.42084999999999995</v>
      </c>
      <c r="K552" s="10">
        <f t="shared" si="137"/>
        <v>0.42084999999999989</v>
      </c>
      <c r="L552" s="10">
        <f t="shared" si="137"/>
        <v>0.42084999999999989</v>
      </c>
      <c r="M552" s="10">
        <f t="shared" si="137"/>
        <v>0.42084999999999995</v>
      </c>
      <c r="N552" s="10">
        <f t="shared" si="137"/>
        <v>0.42084999999999995</v>
      </c>
      <c r="O552" s="10">
        <f t="shared" si="137"/>
        <v>0.42084999999999995</v>
      </c>
      <c r="P552" s="10">
        <f t="shared" si="137"/>
        <v>0.42084999999999995</v>
      </c>
      <c r="Q552" s="10">
        <f t="shared" si="137"/>
        <v>0.42084999999999995</v>
      </c>
      <c r="R552" s="31"/>
      <c r="S552" s="165">
        <f>SUMPRODUCT(B551:R551,B552:R552)/S551</f>
        <v>0.42085</v>
      </c>
      <c r="T552" s="176">
        <f>T513</f>
        <v>0.42084999999999995</v>
      </c>
    </row>
    <row r="553" spans="1:20">
      <c r="A553" s="5"/>
      <c r="B553" s="4"/>
      <c r="C553" s="4"/>
      <c r="D553" s="4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11"/>
    </row>
    <row r="554" spans="1:20">
      <c r="A554" s="39" t="s">
        <v>189</v>
      </c>
      <c r="B554" s="4"/>
      <c r="C554" s="4"/>
      <c r="D554" s="4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11"/>
    </row>
    <row r="555" spans="1:20">
      <c r="A555" s="5" t="s">
        <v>187</v>
      </c>
      <c r="B555" s="4"/>
      <c r="C555" s="4"/>
      <c r="D555" s="4"/>
      <c r="E555" s="31">
        <f>E556/(1-'Phys Input'!$B$39)</f>
        <v>2604.166666666667</v>
      </c>
      <c r="F555" s="31">
        <f>F556/(1-'Phys Input'!$B$39)</f>
        <v>2604.166666666667</v>
      </c>
      <c r="G555" s="31">
        <f>G556/(1-'Phys Input'!$B$39)</f>
        <v>2604.166666666667</v>
      </c>
      <c r="H555" s="31">
        <f>H556/(1-'Phys Input'!$B$39)</f>
        <v>2604.166666666667</v>
      </c>
      <c r="I555" s="31">
        <f>I556/(1-'Phys Input'!$B$39)</f>
        <v>2604.166666666667</v>
      </c>
      <c r="J555" s="31">
        <f>J556/(1-'Phys Input'!$B$39)</f>
        <v>2604.166666666667</v>
      </c>
      <c r="K555" s="31">
        <f>K556/(1-'Phys Input'!$B$39)</f>
        <v>2604.166666666667</v>
      </c>
      <c r="L555" s="31">
        <f>L556/(1-'Phys Input'!$B$39)</f>
        <v>2604.166666666667</v>
      </c>
      <c r="M555" s="31">
        <f>M556/(1-'Phys Input'!$B$39)</f>
        <v>2604.166666666667</v>
      </c>
      <c r="N555" s="31">
        <f>N556/(1-'Phys Input'!$B$39)</f>
        <v>2604.166666666667</v>
      </c>
      <c r="O555" s="31">
        <f>O556/(1-'Phys Input'!$B$39)</f>
        <v>2604.166666666667</v>
      </c>
      <c r="P555" s="31">
        <f>P556/(1-'Phys Input'!$B$39)</f>
        <v>2604.166666666667</v>
      </c>
      <c r="Q555" s="31"/>
      <c r="R555" s="31"/>
      <c r="S555" s="11"/>
    </row>
    <row r="556" spans="1:20">
      <c r="A556" s="5" t="s">
        <v>188</v>
      </c>
      <c r="B556" s="4"/>
      <c r="C556" s="4"/>
      <c r="D556" s="4"/>
      <c r="E556" s="31">
        <f>'Phys Input'!$C103</f>
        <v>2500</v>
      </c>
      <c r="F556" s="31">
        <f>'Phys Input'!$C103</f>
        <v>2500</v>
      </c>
      <c r="G556" s="31">
        <f>'Phys Input'!$C103</f>
        <v>2500</v>
      </c>
      <c r="H556" s="31">
        <f>'Phys Input'!$C103</f>
        <v>2500</v>
      </c>
      <c r="I556" s="31">
        <f>'Phys Input'!$C103</f>
        <v>2500</v>
      </c>
      <c r="J556" s="31">
        <f>'Phys Input'!$C103</f>
        <v>2500</v>
      </c>
      <c r="K556" s="31">
        <f>'Phys Input'!$C103</f>
        <v>2500</v>
      </c>
      <c r="L556" s="31">
        <f>'Phys Input'!$C103</f>
        <v>2500</v>
      </c>
      <c r="M556" s="31">
        <f>'Phys Input'!$C103</f>
        <v>2500</v>
      </c>
      <c r="N556" s="31">
        <f>'Phys Input'!$C103</f>
        <v>2500</v>
      </c>
      <c r="O556" s="31">
        <f>'Phys Input'!$C103</f>
        <v>2500</v>
      </c>
      <c r="P556" s="31">
        <f>'Phys Input'!$C103</f>
        <v>2500</v>
      </c>
      <c r="Q556" s="31"/>
      <c r="R556" s="31"/>
      <c r="S556" s="11"/>
    </row>
    <row r="557" spans="1:20">
      <c r="A557" s="5" t="s">
        <v>180</v>
      </c>
      <c r="B557" s="4"/>
      <c r="C557" s="4"/>
      <c r="D557" s="4"/>
      <c r="E557" s="10">
        <f>E552</f>
        <v>0.42085</v>
      </c>
      <c r="F557" s="10">
        <f t="shared" ref="F557:P557" si="138">F552</f>
        <v>0.42084999999999989</v>
      </c>
      <c r="G557" s="10">
        <f t="shared" si="138"/>
        <v>0.42084999999999989</v>
      </c>
      <c r="H557" s="10">
        <f t="shared" si="138"/>
        <v>0.42084999999999995</v>
      </c>
      <c r="I557" s="10">
        <f t="shared" si="138"/>
        <v>0.42084999999999995</v>
      </c>
      <c r="J557" s="10">
        <f t="shared" si="138"/>
        <v>0.42084999999999995</v>
      </c>
      <c r="K557" s="10">
        <f t="shared" si="138"/>
        <v>0.42084999999999989</v>
      </c>
      <c r="L557" s="10">
        <f t="shared" si="138"/>
        <v>0.42084999999999989</v>
      </c>
      <c r="M557" s="10">
        <f t="shared" si="138"/>
        <v>0.42084999999999995</v>
      </c>
      <c r="N557" s="10">
        <f t="shared" si="138"/>
        <v>0.42084999999999995</v>
      </c>
      <c r="O557" s="10">
        <f t="shared" si="138"/>
        <v>0.42084999999999995</v>
      </c>
      <c r="P557" s="10">
        <f t="shared" si="138"/>
        <v>0.42084999999999995</v>
      </c>
      <c r="Q557" s="31"/>
      <c r="R557" s="31"/>
      <c r="S557" s="11"/>
    </row>
    <row r="558" spans="1:20">
      <c r="A558" s="5"/>
      <c r="B558" s="4"/>
      <c r="C558" s="4"/>
      <c r="D558" s="4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11"/>
    </row>
    <row r="559" spans="1:20">
      <c r="A559" s="39" t="s">
        <v>261</v>
      </c>
      <c r="B559" s="4"/>
      <c r="C559" s="4"/>
      <c r="D559" s="4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11"/>
    </row>
    <row r="560" spans="1:20">
      <c r="A560" s="5" t="s">
        <v>279</v>
      </c>
      <c r="B560" s="4"/>
      <c r="C560" s="4"/>
      <c r="D560" s="4"/>
      <c r="E560" s="31">
        <f>E561/(1-'Phys Input'!$B$75)</f>
        <v>191916.11460023376</v>
      </c>
      <c r="F560" s="31">
        <f>F561/(1-'Phys Input'!$B$75)</f>
        <v>246194.22049096535</v>
      </c>
      <c r="G560" s="31">
        <f>G561/(1-'Phys Input'!$B$75)</f>
        <v>246194.22049096535</v>
      </c>
      <c r="H560" s="31">
        <f>H561/(1-'Phys Input'!$B$75)</f>
        <v>246194.22049096535</v>
      </c>
      <c r="I560" s="31">
        <f>I561/(1-'Phys Input'!$B$75)</f>
        <v>246194.22049096535</v>
      </c>
      <c r="J560" s="31">
        <f>J561/(1-'Phys Input'!$B$75)</f>
        <v>246194.22049096535</v>
      </c>
      <c r="K560" s="31">
        <f>K561/(1-'Phys Input'!$B$75)</f>
        <v>246194.22049096535</v>
      </c>
      <c r="L560" s="31">
        <f>L561/(1-'Phys Input'!$B$75)</f>
        <v>246194.22049096535</v>
      </c>
      <c r="M560" s="31">
        <f>M561/(1-'Phys Input'!$B$75)</f>
        <v>246194.22049096535</v>
      </c>
      <c r="N560" s="31">
        <f>N561/(1-'Phys Input'!$B$75)</f>
        <v>246194.22049096535</v>
      </c>
      <c r="O560" s="31">
        <f>O561/(1-'Phys Input'!$B$75)</f>
        <v>246194.22049096535</v>
      </c>
      <c r="P560" s="31">
        <f>P561/(1-'Phys Input'!$B$75)</f>
        <v>246194.22049096535</v>
      </c>
      <c r="Q560" s="31">
        <f>Q561/(1-'Phys Input'!$B$75)</f>
        <v>403879.00639089983</v>
      </c>
      <c r="R560" s="31"/>
      <c r="S560" s="11">
        <f>SUM(B560:R560)</f>
        <v>3303931.546391753</v>
      </c>
    </row>
    <row r="561" spans="1:21">
      <c r="A561" s="5" t="s">
        <v>263</v>
      </c>
      <c r="B561" s="4"/>
      <c r="C561" s="4"/>
      <c r="D561" s="4"/>
      <c r="E561" s="31">
        <f>D556+E551-E556</f>
        <v>186158.63116222675</v>
      </c>
      <c r="F561" s="31">
        <f t="shared" ref="F561:Q561" si="139">E556+F551-F556</f>
        <v>238808.3938762364</v>
      </c>
      <c r="G561" s="31">
        <f t="shared" si="139"/>
        <v>238808.3938762364</v>
      </c>
      <c r="H561" s="31">
        <f t="shared" si="139"/>
        <v>238808.3938762364</v>
      </c>
      <c r="I561" s="31">
        <f t="shared" si="139"/>
        <v>238808.3938762364</v>
      </c>
      <c r="J561" s="31">
        <f t="shared" si="139"/>
        <v>238808.3938762364</v>
      </c>
      <c r="K561" s="31">
        <f t="shared" si="139"/>
        <v>238808.3938762364</v>
      </c>
      <c r="L561" s="31">
        <f t="shared" si="139"/>
        <v>238808.3938762364</v>
      </c>
      <c r="M561" s="31">
        <f t="shared" si="139"/>
        <v>238808.3938762364</v>
      </c>
      <c r="N561" s="31">
        <f t="shared" si="139"/>
        <v>238808.3938762364</v>
      </c>
      <c r="O561" s="31">
        <f t="shared" si="139"/>
        <v>238808.3938762364</v>
      </c>
      <c r="P561" s="31">
        <f t="shared" si="139"/>
        <v>238808.3938762364</v>
      </c>
      <c r="Q561" s="31">
        <f t="shared" si="139"/>
        <v>391762.63619917282</v>
      </c>
      <c r="R561" s="31"/>
      <c r="S561" s="11">
        <f>SUM(B561:R561)</f>
        <v>3204813.5999999996</v>
      </c>
      <c r="T561" s="2">
        <f>T512</f>
        <v>3204813.5999999996</v>
      </c>
      <c r="U561" s="2"/>
    </row>
    <row r="562" spans="1:21">
      <c r="A562" s="5" t="s">
        <v>262</v>
      </c>
      <c r="B562" s="4"/>
      <c r="C562" s="4"/>
      <c r="D562" s="4"/>
      <c r="E562" s="31">
        <f>E561*'Phys Input'!$B$16</f>
        <v>930.79315581113383</v>
      </c>
      <c r="F562" s="31">
        <f>F561*'Phys Input'!$B$16</f>
        <v>1194.0419693811821</v>
      </c>
      <c r="G562" s="31">
        <f>G561*'Phys Input'!$B$16</f>
        <v>1194.0419693811821</v>
      </c>
      <c r="H562" s="31">
        <f>H561*'Phys Input'!$B$16</f>
        <v>1194.0419693811821</v>
      </c>
      <c r="I562" s="31">
        <f>I561*'Phys Input'!$B$16</f>
        <v>1194.0419693811821</v>
      </c>
      <c r="J562" s="31">
        <f>J561*'Phys Input'!$B$16</f>
        <v>1194.0419693811821</v>
      </c>
      <c r="K562" s="31">
        <f>K561*'Phys Input'!$B$16</f>
        <v>1194.0419693811821</v>
      </c>
      <c r="L562" s="31">
        <f>L561*'Phys Input'!$B$16</f>
        <v>1194.0419693811821</v>
      </c>
      <c r="M562" s="31">
        <f>M561*'Phys Input'!$B$16</f>
        <v>1194.0419693811821</v>
      </c>
      <c r="N562" s="31">
        <f>N561*'Phys Input'!$B$16</f>
        <v>1194.0419693811821</v>
      </c>
      <c r="O562" s="31">
        <f>O561*'Phys Input'!$B$16</f>
        <v>1194.0419693811821</v>
      </c>
      <c r="P562" s="31">
        <f>P561*'Phys Input'!$B$16</f>
        <v>1194.0419693811821</v>
      </c>
      <c r="Q562" s="31">
        <f>Q561*'Phys Input'!$B$16</f>
        <v>1958.8131809958641</v>
      </c>
      <c r="R562" s="31"/>
      <c r="S562" s="11">
        <f t="shared" ref="S562:S563" si="140">SUM(B562:R562)</f>
        <v>16024.067999999999</v>
      </c>
      <c r="T562" s="2"/>
      <c r="U562" s="2"/>
    </row>
    <row r="563" spans="1:21">
      <c r="A563" s="5" t="s">
        <v>264</v>
      </c>
      <c r="B563" s="4"/>
      <c r="C563" s="4"/>
      <c r="D563" s="4"/>
      <c r="E563" s="31">
        <f>E561-E562</f>
        <v>185227.83800641561</v>
      </c>
      <c r="F563" s="31">
        <f t="shared" ref="F563:Q563" si="141">F561-F562</f>
        <v>237614.35190685521</v>
      </c>
      <c r="G563" s="31">
        <f t="shared" si="141"/>
        <v>237614.35190685521</v>
      </c>
      <c r="H563" s="31">
        <f t="shared" si="141"/>
        <v>237614.35190685521</v>
      </c>
      <c r="I563" s="31">
        <f t="shared" si="141"/>
        <v>237614.35190685521</v>
      </c>
      <c r="J563" s="31">
        <f t="shared" si="141"/>
        <v>237614.35190685521</v>
      </c>
      <c r="K563" s="31">
        <f t="shared" si="141"/>
        <v>237614.35190685521</v>
      </c>
      <c r="L563" s="31">
        <f t="shared" si="141"/>
        <v>237614.35190685521</v>
      </c>
      <c r="M563" s="31">
        <f t="shared" si="141"/>
        <v>237614.35190685521</v>
      </c>
      <c r="N563" s="31">
        <f t="shared" si="141"/>
        <v>237614.35190685521</v>
      </c>
      <c r="O563" s="31">
        <f t="shared" si="141"/>
        <v>237614.35190685521</v>
      </c>
      <c r="P563" s="31">
        <f t="shared" si="141"/>
        <v>237614.35190685521</v>
      </c>
      <c r="Q563" s="31">
        <f t="shared" si="141"/>
        <v>389803.82301817695</v>
      </c>
      <c r="R563" s="31"/>
      <c r="S563" s="11">
        <f t="shared" si="140"/>
        <v>3188789.5319999992</v>
      </c>
      <c r="T563" s="2"/>
    </row>
    <row r="564" spans="1:21">
      <c r="A564" s="5" t="s">
        <v>268</v>
      </c>
      <c r="B564" s="4"/>
      <c r="C564" s="4"/>
      <c r="D564" s="4"/>
      <c r="E564" s="10">
        <f t="shared" ref="E564:Q564" si="142">(D556*D557+E551*E552-E556*E557)/E561</f>
        <v>0.42085</v>
      </c>
      <c r="F564" s="10">
        <f t="shared" si="142"/>
        <v>0.42084999999999989</v>
      </c>
      <c r="G564" s="10">
        <f t="shared" si="142"/>
        <v>0.42084999999999989</v>
      </c>
      <c r="H564" s="10">
        <f t="shared" si="142"/>
        <v>0.42084999999999995</v>
      </c>
      <c r="I564" s="10">
        <f t="shared" si="142"/>
        <v>0.42084999999999995</v>
      </c>
      <c r="J564" s="10">
        <f t="shared" si="142"/>
        <v>0.42084999999999995</v>
      </c>
      <c r="K564" s="10">
        <f t="shared" si="142"/>
        <v>0.42084999999999989</v>
      </c>
      <c r="L564" s="10">
        <f t="shared" si="142"/>
        <v>0.42084999999999989</v>
      </c>
      <c r="M564" s="10">
        <f t="shared" si="142"/>
        <v>0.42084999999999995</v>
      </c>
      <c r="N564" s="10">
        <f t="shared" si="142"/>
        <v>0.42084999999999995</v>
      </c>
      <c r="O564" s="10">
        <f t="shared" si="142"/>
        <v>0.42084999999999995</v>
      </c>
      <c r="P564" s="10">
        <f t="shared" si="142"/>
        <v>0.42084999999999995</v>
      </c>
      <c r="Q564" s="10">
        <f t="shared" si="142"/>
        <v>0.42084999999999995</v>
      </c>
      <c r="R564" s="31"/>
      <c r="S564" s="165">
        <f>SUMPRODUCT(B563:R563,B564:R564)/S563</f>
        <v>0.42085000000000011</v>
      </c>
      <c r="T564" s="176">
        <f>T513</f>
        <v>0.42084999999999995</v>
      </c>
    </row>
    <row r="565" spans="1:21">
      <c r="A565" s="6"/>
      <c r="B565" s="4"/>
      <c r="C565" s="4"/>
      <c r="D565" s="4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11"/>
    </row>
    <row r="566" spans="1:21">
      <c r="A566" s="39" t="s">
        <v>190</v>
      </c>
      <c r="B566" s="4"/>
      <c r="C566" s="4"/>
      <c r="D566" s="4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11"/>
    </row>
    <row r="567" spans="1:21">
      <c r="A567" s="5" t="s">
        <v>187</v>
      </c>
      <c r="B567" s="4"/>
      <c r="C567" s="4"/>
      <c r="D567" s="4"/>
      <c r="E567" s="31">
        <f>E568/(1-'Phys Input'!$B$84)</f>
        <v>2551.0204081632655</v>
      </c>
      <c r="F567" s="31">
        <f>F568/(1-'Phys Input'!$B$84)</f>
        <v>2551.0204081632655</v>
      </c>
      <c r="G567" s="31">
        <f>G568/(1-'Phys Input'!$B$84)</f>
        <v>2551.0204081632655</v>
      </c>
      <c r="H567" s="31">
        <f>H568/(1-'Phys Input'!$B$84)</f>
        <v>2551.0204081632655</v>
      </c>
      <c r="I567" s="31">
        <f>I568/(1-'Phys Input'!$B$84)</f>
        <v>2551.0204081632655</v>
      </c>
      <c r="J567" s="31">
        <f>J568/(1-'Phys Input'!$B$84)</f>
        <v>2551.0204081632655</v>
      </c>
      <c r="K567" s="31">
        <f>K568/(1-'Phys Input'!$B$84)</f>
        <v>2551.0204081632655</v>
      </c>
      <c r="L567" s="31">
        <f>L568/(1-'Phys Input'!$B$84)</f>
        <v>2551.0204081632655</v>
      </c>
      <c r="M567" s="31">
        <f>M568/(1-'Phys Input'!$B$84)</f>
        <v>2551.0204081632655</v>
      </c>
      <c r="N567" s="31">
        <f>N568/(1-'Phys Input'!$B$84)</f>
        <v>2551.0204081632655</v>
      </c>
      <c r="O567" s="31">
        <f>O568/(1-'Phys Input'!$B$84)</f>
        <v>2551.0204081632655</v>
      </c>
      <c r="P567" s="31">
        <f>P568/(1-'Phys Input'!$B$84)</f>
        <v>2551.0204081632655</v>
      </c>
      <c r="Q567" s="31"/>
      <c r="R567" s="31"/>
      <c r="S567" s="11"/>
    </row>
    <row r="568" spans="1:21">
      <c r="A568" s="5" t="s">
        <v>188</v>
      </c>
      <c r="B568" s="4"/>
      <c r="C568" s="4"/>
      <c r="D568" s="4"/>
      <c r="E568" s="31">
        <f>'Phys Input'!$C$104</f>
        <v>2500</v>
      </c>
      <c r="F568" s="31">
        <f>'Phys Input'!$C$104</f>
        <v>2500</v>
      </c>
      <c r="G568" s="31">
        <f>'Phys Input'!$C$104</f>
        <v>2500</v>
      </c>
      <c r="H568" s="31">
        <f>'Phys Input'!$C$104</f>
        <v>2500</v>
      </c>
      <c r="I568" s="31">
        <f>'Phys Input'!$C$104</f>
        <v>2500</v>
      </c>
      <c r="J568" s="31">
        <f>'Phys Input'!$C$104</f>
        <v>2500</v>
      </c>
      <c r="K568" s="31">
        <f>'Phys Input'!$C$104</f>
        <v>2500</v>
      </c>
      <c r="L568" s="31">
        <f>'Phys Input'!$C$104</f>
        <v>2500</v>
      </c>
      <c r="M568" s="31">
        <f>'Phys Input'!$C$104</f>
        <v>2500</v>
      </c>
      <c r="N568" s="31">
        <f>'Phys Input'!$C$104</f>
        <v>2500</v>
      </c>
      <c r="O568" s="31">
        <f>'Phys Input'!$C$104</f>
        <v>2500</v>
      </c>
      <c r="P568" s="31">
        <f>'Phys Input'!$C$104</f>
        <v>2500</v>
      </c>
      <c r="Q568" s="31"/>
      <c r="R568" s="31"/>
      <c r="S568" s="11"/>
    </row>
    <row r="569" spans="1:21">
      <c r="A569" s="5" t="s">
        <v>180</v>
      </c>
      <c r="B569" s="4"/>
      <c r="C569" s="4"/>
      <c r="D569" s="4"/>
      <c r="E569" s="10">
        <f>E564</f>
        <v>0.42085</v>
      </c>
      <c r="F569" s="10">
        <f t="shared" ref="F569:P569" si="143">F564</f>
        <v>0.42084999999999989</v>
      </c>
      <c r="G569" s="10">
        <f t="shared" si="143"/>
        <v>0.42084999999999989</v>
      </c>
      <c r="H569" s="10">
        <f t="shared" si="143"/>
        <v>0.42084999999999995</v>
      </c>
      <c r="I569" s="10">
        <f t="shared" si="143"/>
        <v>0.42084999999999995</v>
      </c>
      <c r="J569" s="10">
        <f t="shared" si="143"/>
        <v>0.42084999999999995</v>
      </c>
      <c r="K569" s="10">
        <f t="shared" si="143"/>
        <v>0.42084999999999989</v>
      </c>
      <c r="L569" s="10">
        <f t="shared" si="143"/>
        <v>0.42084999999999989</v>
      </c>
      <c r="M569" s="10">
        <f t="shared" si="143"/>
        <v>0.42084999999999995</v>
      </c>
      <c r="N569" s="10">
        <f t="shared" si="143"/>
        <v>0.42084999999999995</v>
      </c>
      <c r="O569" s="10">
        <f t="shared" si="143"/>
        <v>0.42084999999999995</v>
      </c>
      <c r="P569" s="10">
        <f t="shared" si="143"/>
        <v>0.42084999999999995</v>
      </c>
      <c r="Q569" s="31"/>
      <c r="R569" s="31"/>
      <c r="S569" s="11"/>
    </row>
    <row r="570" spans="1:21">
      <c r="A570" s="6"/>
      <c r="B570" s="4"/>
      <c r="C570" s="4"/>
      <c r="D570" s="4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11"/>
    </row>
    <row r="571" spans="1:21">
      <c r="A571" s="39" t="s">
        <v>191</v>
      </c>
      <c r="B571" s="85"/>
      <c r="C571" s="85"/>
      <c r="D571" s="8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6"/>
    </row>
    <row r="572" spans="1:21">
      <c r="A572" s="5" t="s">
        <v>181</v>
      </c>
      <c r="B572" s="85"/>
      <c r="C572" s="85"/>
      <c r="D572" s="8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6"/>
    </row>
    <row r="573" spans="1:21">
      <c r="A573" s="5" t="s">
        <v>182</v>
      </c>
      <c r="B573" s="85"/>
      <c r="C573" s="85"/>
      <c r="D573" s="85"/>
      <c r="E573" s="31">
        <f>E574/(1-'Phys Input'!$B$84)</f>
        <v>186456.97755756695</v>
      </c>
      <c r="F573" s="31">
        <f>F574/(1-'Phys Input'!$B$84)</f>
        <v>242463.62439475022</v>
      </c>
      <c r="G573" s="31">
        <f>G574/(1-'Phys Input'!$B$84)</f>
        <v>242463.62439475022</v>
      </c>
      <c r="H573" s="31">
        <f>H574/(1-'Phys Input'!$B$84)</f>
        <v>242463.62439475022</v>
      </c>
      <c r="I573" s="31">
        <f>I574/(1-'Phys Input'!$B$84)</f>
        <v>242463.62439475022</v>
      </c>
      <c r="J573" s="31">
        <f>J574/(1-'Phys Input'!$B$84)</f>
        <v>242463.62439475022</v>
      </c>
      <c r="K573" s="31">
        <f>K574/(1-'Phys Input'!$B$84)</f>
        <v>242463.62439475022</v>
      </c>
      <c r="L573" s="31">
        <f>L574/(1-'Phys Input'!$B$84)</f>
        <v>242463.62439475022</v>
      </c>
      <c r="M573" s="31">
        <f>M574/(1-'Phys Input'!$B$84)</f>
        <v>242463.62439475022</v>
      </c>
      <c r="N573" s="31">
        <f>N574/(1-'Phys Input'!$B$84)</f>
        <v>242463.62439475022</v>
      </c>
      <c r="O573" s="31">
        <f>O574/(1-'Phys Input'!$B$84)</f>
        <v>242463.62439475022</v>
      </c>
      <c r="P573" s="31">
        <f>P574/(1-'Phys Input'!$B$84)</f>
        <v>242463.62439475022</v>
      </c>
      <c r="Q573" s="31">
        <f>Q574/(1-'Phys Input'!$B$84)</f>
        <v>400310.02348793566</v>
      </c>
      <c r="R573" s="4"/>
      <c r="S573" s="11">
        <f t="shared" ref="S573:S574" si="144">SUM(B573:R573)</f>
        <v>3253866.8693877552</v>
      </c>
    </row>
    <row r="574" spans="1:21">
      <c r="A574" s="5" t="s">
        <v>183</v>
      </c>
      <c r="B574" s="4"/>
      <c r="C574" s="4"/>
      <c r="D574" s="4"/>
      <c r="E574" s="31">
        <f>D568+E563-E568</f>
        <v>182727.83800641561</v>
      </c>
      <c r="F574" s="31">
        <f t="shared" ref="F574:Q574" si="145">E568+F563-F568</f>
        <v>237614.35190685521</v>
      </c>
      <c r="G574" s="31">
        <f t="shared" si="145"/>
        <v>237614.35190685521</v>
      </c>
      <c r="H574" s="31">
        <f t="shared" si="145"/>
        <v>237614.35190685521</v>
      </c>
      <c r="I574" s="31">
        <f t="shared" si="145"/>
        <v>237614.35190685521</v>
      </c>
      <c r="J574" s="31">
        <f t="shared" si="145"/>
        <v>237614.35190685521</v>
      </c>
      <c r="K574" s="31">
        <f t="shared" si="145"/>
        <v>237614.35190685521</v>
      </c>
      <c r="L574" s="31">
        <f t="shared" si="145"/>
        <v>237614.35190685521</v>
      </c>
      <c r="M574" s="31">
        <f t="shared" si="145"/>
        <v>237614.35190685521</v>
      </c>
      <c r="N574" s="31">
        <f t="shared" si="145"/>
        <v>237614.35190685521</v>
      </c>
      <c r="O574" s="31">
        <f t="shared" si="145"/>
        <v>237614.35190685521</v>
      </c>
      <c r="P574" s="31">
        <f t="shared" si="145"/>
        <v>237614.35190685521</v>
      </c>
      <c r="Q574" s="31">
        <f t="shared" si="145"/>
        <v>392303.82301817695</v>
      </c>
      <c r="R574" s="31"/>
      <c r="S574" s="11">
        <f t="shared" si="144"/>
        <v>3188789.5319999992</v>
      </c>
    </row>
    <row r="575" spans="1:21">
      <c r="A575" s="5" t="s">
        <v>184</v>
      </c>
      <c r="B575" s="4"/>
      <c r="C575" s="4"/>
      <c r="D575" s="4"/>
      <c r="E575" s="10">
        <f>(D568*D569+E563*E564-E568*E569)/E574</f>
        <v>0.42085</v>
      </c>
      <c r="F575" s="10">
        <f t="shared" ref="F575:Q575" si="146">(E568*E569+F563*F564-F568*F569)/F574</f>
        <v>0.42084999999999989</v>
      </c>
      <c r="G575" s="10">
        <f t="shared" si="146"/>
        <v>0.42084999999999989</v>
      </c>
      <c r="H575" s="10">
        <f t="shared" si="146"/>
        <v>0.42084999999999995</v>
      </c>
      <c r="I575" s="10">
        <f t="shared" si="146"/>
        <v>0.42084999999999995</v>
      </c>
      <c r="J575" s="10">
        <f t="shared" si="146"/>
        <v>0.42084999999999995</v>
      </c>
      <c r="K575" s="10">
        <f t="shared" si="146"/>
        <v>0.42084999999999989</v>
      </c>
      <c r="L575" s="10">
        <f t="shared" si="146"/>
        <v>0.42084999999999989</v>
      </c>
      <c r="M575" s="10">
        <f t="shared" si="146"/>
        <v>0.42084999999999995</v>
      </c>
      <c r="N575" s="10">
        <f t="shared" si="146"/>
        <v>0.42084999999999995</v>
      </c>
      <c r="O575" s="10">
        <f t="shared" si="146"/>
        <v>0.42084999999999995</v>
      </c>
      <c r="P575" s="10">
        <f t="shared" si="146"/>
        <v>0.42084999999999995</v>
      </c>
      <c r="Q575" s="10">
        <f t="shared" si="146"/>
        <v>0.42085</v>
      </c>
      <c r="R575" s="45"/>
      <c r="S575" s="165">
        <f>SUMPRODUCT(B574:R574,B575:R575)/S574</f>
        <v>0.42085000000000011</v>
      </c>
    </row>
    <row r="576" spans="1:21">
      <c r="A576" s="5" t="s">
        <v>192</v>
      </c>
      <c r="B576" s="4"/>
      <c r="C576" s="4"/>
      <c r="D576" s="4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11"/>
    </row>
    <row r="577" spans="1:19">
      <c r="A577" s="5" t="s">
        <v>272</v>
      </c>
      <c r="B577" s="4"/>
      <c r="C577" s="4"/>
      <c r="D577" s="4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11">
        <f t="shared" ref="S577:S578" si="147">SUM(B577:R577)</f>
        <v>0</v>
      </c>
    </row>
    <row r="578" spans="1:19">
      <c r="A578" s="5" t="s">
        <v>271</v>
      </c>
      <c r="B578" s="4"/>
      <c r="C578" s="4"/>
      <c r="D578" s="4"/>
      <c r="E578" s="31">
        <f>E573-E574</f>
        <v>3729.1395511513401</v>
      </c>
      <c r="F578" s="31">
        <f t="shared" ref="F578:Q578" si="148">F573-F574</f>
        <v>4849.2724878950103</v>
      </c>
      <c r="G578" s="31">
        <f t="shared" si="148"/>
        <v>4849.2724878950103</v>
      </c>
      <c r="H578" s="31">
        <f t="shared" si="148"/>
        <v>4849.2724878950103</v>
      </c>
      <c r="I578" s="31">
        <f t="shared" si="148"/>
        <v>4849.2724878950103</v>
      </c>
      <c r="J578" s="31">
        <f t="shared" si="148"/>
        <v>4849.2724878950103</v>
      </c>
      <c r="K578" s="31">
        <f t="shared" si="148"/>
        <v>4849.2724878950103</v>
      </c>
      <c r="L578" s="31">
        <f t="shared" si="148"/>
        <v>4849.2724878950103</v>
      </c>
      <c r="M578" s="31">
        <f t="shared" si="148"/>
        <v>4849.2724878950103</v>
      </c>
      <c r="N578" s="31">
        <f t="shared" si="148"/>
        <v>4849.2724878950103</v>
      </c>
      <c r="O578" s="31">
        <f t="shared" si="148"/>
        <v>4849.2724878950103</v>
      </c>
      <c r="P578" s="31">
        <f t="shared" si="148"/>
        <v>4849.2724878950103</v>
      </c>
      <c r="Q578" s="31">
        <f t="shared" si="148"/>
        <v>8006.2004697587108</v>
      </c>
      <c r="R578" s="31"/>
      <c r="S578" s="11">
        <f t="shared" si="147"/>
        <v>65077.337387755164</v>
      </c>
    </row>
    <row r="579" spans="1:19">
      <c r="A579" s="5" t="s">
        <v>193</v>
      </c>
      <c r="B579" s="4"/>
      <c r="C579" s="4"/>
      <c r="D579" s="4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11"/>
    </row>
    <row r="580" spans="1:19">
      <c r="A580" s="5" t="s">
        <v>183</v>
      </c>
      <c r="B580" s="4"/>
      <c r="C580" s="4"/>
      <c r="D580" s="4"/>
      <c r="E580" s="31">
        <f>IF(E581=0,0,E574*E575*(1-'Phys Input'!$B$17)/E581)</f>
        <v>5492.9293303571494</v>
      </c>
      <c r="F580" s="31">
        <f>IF(F581=0,0,F574*F575*(1-'Phys Input'!$B$17)/F581)</f>
        <v>7142.8571428571486</v>
      </c>
      <c r="G580" s="31">
        <f>IF(G581=0,0,G574*G575*(1-'Phys Input'!$B$17)/G581)</f>
        <v>7142.8571428571486</v>
      </c>
      <c r="H580" s="31">
        <f>IF(H581=0,0,H574*H575*(1-'Phys Input'!$B$17)/H581)</f>
        <v>7142.8571428571495</v>
      </c>
      <c r="I580" s="31">
        <f>IF(I581=0,0,I574*I575*(1-'Phys Input'!$B$17)/I581)</f>
        <v>7142.8571428571495</v>
      </c>
      <c r="J580" s="31">
        <f>IF(J581=0,0,J574*J575*(1-'Phys Input'!$B$17)/J581)</f>
        <v>7142.8571428571495</v>
      </c>
      <c r="K580" s="31">
        <f>IF(K581=0,0,K574*K575*(1-'Phys Input'!$B$17)/K581)</f>
        <v>7142.8571428571486</v>
      </c>
      <c r="L580" s="31">
        <f>IF(L581=0,0,L574*L575*(1-'Phys Input'!$B$17)/L581)</f>
        <v>7142.8571428571486</v>
      </c>
      <c r="M580" s="31">
        <f>IF(M581=0,0,M574*M575*(1-'Phys Input'!$B$17)/M581)</f>
        <v>7142.8571428571495</v>
      </c>
      <c r="N580" s="31">
        <f>IF(N581=0,0,N574*N575*(1-'Phys Input'!$B$17)/N581)</f>
        <v>7142.8571428571495</v>
      </c>
      <c r="O580" s="31">
        <f>IF(O581=0,0,O574*O575*(1-'Phys Input'!$B$17)/O581)</f>
        <v>7142.8571428571495</v>
      </c>
      <c r="P580" s="31">
        <f>IF(P581=0,0,P574*P575*(1-'Phys Input'!$B$17)/P581)</f>
        <v>7142.8571428571495</v>
      </c>
      <c r="Q580" s="31">
        <f>IF(Q581=0,0,Q574*Q575*(1-'Phys Input'!$B$17)/Q581)</f>
        <v>11792.933136942851</v>
      </c>
      <c r="R580" s="31"/>
      <c r="S580" s="11">
        <f t="shared" ref="S580" si="149">SUM(B580:R580)</f>
        <v>95857.291038728639</v>
      </c>
    </row>
    <row r="581" spans="1:19">
      <c r="A581" s="5" t="s">
        <v>184</v>
      </c>
      <c r="B581" s="4"/>
      <c r="C581" s="4"/>
      <c r="D581" s="4"/>
      <c r="E581" s="10">
        <f>IF(E574=0,0,'Phys Input'!$C$31)</f>
        <v>0.7</v>
      </c>
      <c r="F581" s="10">
        <f>IF(F574=0,0,'Phys Input'!$C$31)</f>
        <v>0.7</v>
      </c>
      <c r="G581" s="10">
        <f>IF(G574=0,0,'Phys Input'!$C$31)</f>
        <v>0.7</v>
      </c>
      <c r="H581" s="10">
        <f>IF(H574=0,0,'Phys Input'!$C$31)</f>
        <v>0.7</v>
      </c>
      <c r="I581" s="10">
        <f>IF(I574=0,0,'Phys Input'!$C$31)</f>
        <v>0.7</v>
      </c>
      <c r="J581" s="10">
        <f>IF(J574=0,0,'Phys Input'!$C$31)</f>
        <v>0.7</v>
      </c>
      <c r="K581" s="10">
        <f>IF(K574=0,0,'Phys Input'!$C$31)</f>
        <v>0.7</v>
      </c>
      <c r="L581" s="10">
        <f>IF(L574=0,0,'Phys Input'!$C$31)</f>
        <v>0.7</v>
      </c>
      <c r="M581" s="10">
        <f>IF(M574=0,0,'Phys Input'!$C$31)</f>
        <v>0.7</v>
      </c>
      <c r="N581" s="10">
        <f>IF(N574=0,0,'Phys Input'!$C$31)</f>
        <v>0.7</v>
      </c>
      <c r="O581" s="10">
        <f>IF(O574=0,0,'Phys Input'!$C$31)</f>
        <v>0.7</v>
      </c>
      <c r="P581" s="10">
        <f>IF(P574=0,0,'Phys Input'!$C$31)</f>
        <v>0.7</v>
      </c>
      <c r="Q581" s="10">
        <f>IF(Q574=0,0,'Phys Input'!$C$31)</f>
        <v>0.7</v>
      </c>
      <c r="R581" s="31"/>
      <c r="S581" s="165">
        <f>IF(S580=0,0,SUMPRODUCT(B580:R580,B581:R581)/S580)</f>
        <v>0.70000000000000007</v>
      </c>
    </row>
    <row r="582" spans="1:19">
      <c r="A582" s="5" t="s">
        <v>186</v>
      </c>
      <c r="B582" s="4"/>
      <c r="C582" s="4"/>
      <c r="D582" s="4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11"/>
    </row>
    <row r="583" spans="1:19">
      <c r="A583" s="5" t="s">
        <v>183</v>
      </c>
      <c r="B583" s="4"/>
      <c r="C583" s="4"/>
      <c r="D583" s="4"/>
      <c r="E583" s="31">
        <f>(E574*E575-E580*E581)/E584</f>
        <v>76901.01062500001</v>
      </c>
      <c r="F583" s="31">
        <f t="shared" ref="F583:Q583" si="150">(F574*F575-F580*F581)/F584</f>
        <v>99999.999999999985</v>
      </c>
      <c r="G583" s="31">
        <f t="shared" si="150"/>
        <v>99999.999999999985</v>
      </c>
      <c r="H583" s="31">
        <f t="shared" si="150"/>
        <v>100000</v>
      </c>
      <c r="I583" s="31">
        <f t="shared" si="150"/>
        <v>100000</v>
      </c>
      <c r="J583" s="31">
        <f t="shared" si="150"/>
        <v>100000</v>
      </c>
      <c r="K583" s="31">
        <f t="shared" si="150"/>
        <v>99999.999999999985</v>
      </c>
      <c r="L583" s="31">
        <f t="shared" si="150"/>
        <v>99999.999999999985</v>
      </c>
      <c r="M583" s="31">
        <f t="shared" si="150"/>
        <v>100000</v>
      </c>
      <c r="N583" s="31">
        <f t="shared" si="150"/>
        <v>100000</v>
      </c>
      <c r="O583" s="31">
        <f t="shared" si="150"/>
        <v>100000</v>
      </c>
      <c r="P583" s="31">
        <f t="shared" si="150"/>
        <v>100000</v>
      </c>
      <c r="Q583" s="31">
        <f t="shared" si="150"/>
        <v>165101.06391719976</v>
      </c>
      <c r="R583" s="31"/>
      <c r="S583" s="11">
        <f t="shared" ref="S583" si="151">SUM(B583:R583)</f>
        <v>1342002.0745422</v>
      </c>
    </row>
    <row r="584" spans="1:19">
      <c r="A584" s="5" t="s">
        <v>184</v>
      </c>
      <c r="B584" s="4"/>
      <c r="C584" s="4"/>
      <c r="D584" s="4"/>
      <c r="E584" s="10">
        <f>'Phys Input'!$B$20</f>
        <v>0.95</v>
      </c>
      <c r="F584" s="10">
        <f>'Phys Input'!$B$20</f>
        <v>0.95</v>
      </c>
      <c r="G584" s="10">
        <f>'Phys Input'!$B$20</f>
        <v>0.95</v>
      </c>
      <c r="H584" s="10">
        <f>'Phys Input'!$B$20</f>
        <v>0.95</v>
      </c>
      <c r="I584" s="10">
        <f>'Phys Input'!$B$20</f>
        <v>0.95</v>
      </c>
      <c r="J584" s="10">
        <f>'Phys Input'!$B$20</f>
        <v>0.95</v>
      </c>
      <c r="K584" s="10">
        <f>'Phys Input'!$B$20</f>
        <v>0.95</v>
      </c>
      <c r="L584" s="10">
        <f>'Phys Input'!$B$20</f>
        <v>0.95</v>
      </c>
      <c r="M584" s="10">
        <f>'Phys Input'!$B$20</f>
        <v>0.95</v>
      </c>
      <c r="N584" s="10">
        <f>'Phys Input'!$B$20</f>
        <v>0.95</v>
      </c>
      <c r="O584" s="10">
        <f>'Phys Input'!$B$20</f>
        <v>0.95</v>
      </c>
      <c r="P584" s="10">
        <f>'Phys Input'!$B$20</f>
        <v>0.95</v>
      </c>
      <c r="Q584" s="10">
        <f>'Phys Input'!$B$20</f>
        <v>0.95</v>
      </c>
      <c r="R584" s="31"/>
      <c r="S584" s="165">
        <f>SUMPRODUCT(B583:R583,B584:R584)/S583</f>
        <v>0.94999999999999984</v>
      </c>
    </row>
    <row r="585" spans="1:19">
      <c r="A585" s="5"/>
      <c r="B585" s="4"/>
      <c r="C585" s="4"/>
      <c r="D585" s="4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11"/>
    </row>
    <row r="586" spans="1:19">
      <c r="A586" s="39" t="s">
        <v>195</v>
      </c>
      <c r="B586" s="4"/>
      <c r="C586" s="4"/>
      <c r="D586" s="4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11"/>
    </row>
    <row r="587" spans="1:19">
      <c r="A587" s="5" t="s">
        <v>188</v>
      </c>
      <c r="B587" s="4"/>
      <c r="C587" s="4"/>
      <c r="D587" s="4"/>
      <c r="E587" s="31">
        <f>'Phys Input'!$C$105</f>
        <v>2000</v>
      </c>
      <c r="F587" s="31">
        <f>'Phys Input'!$C$105</f>
        <v>2000</v>
      </c>
      <c r="G587" s="31">
        <f>'Phys Input'!$C$105</f>
        <v>2000</v>
      </c>
      <c r="H587" s="31">
        <f>'Phys Input'!$C$105</f>
        <v>2000</v>
      </c>
      <c r="I587" s="31">
        <f>'Phys Input'!$C$105</f>
        <v>2000</v>
      </c>
      <c r="J587" s="31">
        <f>'Phys Input'!$C$105</f>
        <v>2000</v>
      </c>
      <c r="K587" s="31">
        <f>'Phys Input'!$C$105</f>
        <v>2000</v>
      </c>
      <c r="L587" s="31">
        <f>'Phys Input'!$C$105</f>
        <v>2000</v>
      </c>
      <c r="M587" s="31">
        <f>'Phys Input'!$C$105</f>
        <v>2000</v>
      </c>
      <c r="N587" s="31">
        <f>'Phys Input'!$C$105</f>
        <v>2000</v>
      </c>
      <c r="O587" s="31">
        <f>'Phys Input'!$C$105</f>
        <v>2000</v>
      </c>
      <c r="P587" s="31">
        <f>'Phys Input'!$C$105</f>
        <v>2000</v>
      </c>
      <c r="Q587" s="31"/>
      <c r="R587" s="31"/>
      <c r="S587" s="11"/>
    </row>
    <row r="588" spans="1:19">
      <c r="A588" s="5" t="s">
        <v>180</v>
      </c>
      <c r="B588" s="4"/>
      <c r="C588" s="4"/>
      <c r="D588" s="4"/>
      <c r="E588" s="10">
        <f>E584</f>
        <v>0.95</v>
      </c>
      <c r="F588" s="10">
        <f t="shared" ref="F588:P588" si="152">F584</f>
        <v>0.95</v>
      </c>
      <c r="G588" s="10">
        <f t="shared" si="152"/>
        <v>0.95</v>
      </c>
      <c r="H588" s="10">
        <f t="shared" si="152"/>
        <v>0.95</v>
      </c>
      <c r="I588" s="10">
        <f t="shared" si="152"/>
        <v>0.95</v>
      </c>
      <c r="J588" s="10">
        <f t="shared" si="152"/>
        <v>0.95</v>
      </c>
      <c r="K588" s="10">
        <f t="shared" si="152"/>
        <v>0.95</v>
      </c>
      <c r="L588" s="10">
        <f t="shared" si="152"/>
        <v>0.95</v>
      </c>
      <c r="M588" s="10">
        <f t="shared" si="152"/>
        <v>0.95</v>
      </c>
      <c r="N588" s="10">
        <f t="shared" si="152"/>
        <v>0.95</v>
      </c>
      <c r="O588" s="10">
        <f t="shared" si="152"/>
        <v>0.95</v>
      </c>
      <c r="P588" s="10">
        <f t="shared" si="152"/>
        <v>0.95</v>
      </c>
      <c r="Q588" s="31"/>
      <c r="R588" s="31"/>
      <c r="S588" s="11"/>
    </row>
    <row r="589" spans="1:19">
      <c r="A589" s="5"/>
      <c r="B589" s="4"/>
      <c r="C589" s="4"/>
      <c r="D589" s="4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11"/>
    </row>
    <row r="590" spans="1:19">
      <c r="A590" s="39" t="s">
        <v>196</v>
      </c>
      <c r="B590" s="4"/>
      <c r="C590" s="4"/>
      <c r="D590" s="4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11"/>
    </row>
    <row r="591" spans="1:19">
      <c r="A591" s="5" t="s">
        <v>188</v>
      </c>
      <c r="B591" s="4"/>
      <c r="C591" s="4"/>
      <c r="D591" s="4"/>
      <c r="E591" s="31">
        <f>D587+E583-E587</f>
        <v>74901.01062500001</v>
      </c>
      <c r="F591" s="31">
        <f t="shared" ref="F591:Q591" si="153">E587+F583-F587</f>
        <v>99999.999999999985</v>
      </c>
      <c r="G591" s="31">
        <f t="shared" si="153"/>
        <v>99999.999999999985</v>
      </c>
      <c r="H591" s="31">
        <f t="shared" si="153"/>
        <v>100000</v>
      </c>
      <c r="I591" s="31">
        <f t="shared" si="153"/>
        <v>100000</v>
      </c>
      <c r="J591" s="31">
        <f t="shared" si="153"/>
        <v>100000</v>
      </c>
      <c r="K591" s="31">
        <f t="shared" si="153"/>
        <v>99999.999999999985</v>
      </c>
      <c r="L591" s="31">
        <f t="shared" si="153"/>
        <v>99999.999999999985</v>
      </c>
      <c r="M591" s="31">
        <f t="shared" si="153"/>
        <v>100000</v>
      </c>
      <c r="N591" s="31">
        <f t="shared" si="153"/>
        <v>100000</v>
      </c>
      <c r="O591" s="31">
        <f t="shared" si="153"/>
        <v>100000</v>
      </c>
      <c r="P591" s="31">
        <f t="shared" si="153"/>
        <v>100000</v>
      </c>
      <c r="Q591" s="31">
        <f t="shared" si="153"/>
        <v>167101.06391719976</v>
      </c>
      <c r="R591" s="31"/>
      <c r="S591" s="11">
        <f t="shared" ref="S591" si="154">SUM(B591:R591)</f>
        <v>1342002.0745422</v>
      </c>
    </row>
    <row r="592" spans="1:19">
      <c r="A592" s="5" t="s">
        <v>180</v>
      </c>
      <c r="B592" s="4"/>
      <c r="C592" s="4"/>
      <c r="D592" s="4"/>
      <c r="E592" s="10">
        <f>(D587*D588+E583*E584-E587*E588)/E591</f>
        <v>0.95</v>
      </c>
      <c r="F592" s="10">
        <f t="shared" ref="F592:Q592" si="155">(E587*E588+F583*F584-F587*F588)/F591</f>
        <v>0.95</v>
      </c>
      <c r="G592" s="10">
        <f t="shared" si="155"/>
        <v>0.95</v>
      </c>
      <c r="H592" s="10">
        <f t="shared" si="155"/>
        <v>0.95</v>
      </c>
      <c r="I592" s="10">
        <f t="shared" si="155"/>
        <v>0.95</v>
      </c>
      <c r="J592" s="10">
        <f t="shared" si="155"/>
        <v>0.95</v>
      </c>
      <c r="K592" s="10">
        <f t="shared" si="155"/>
        <v>0.95</v>
      </c>
      <c r="L592" s="10">
        <f t="shared" si="155"/>
        <v>0.95</v>
      </c>
      <c r="M592" s="10">
        <f t="shared" si="155"/>
        <v>0.95</v>
      </c>
      <c r="N592" s="10">
        <f t="shared" si="155"/>
        <v>0.95</v>
      </c>
      <c r="O592" s="10">
        <f t="shared" si="155"/>
        <v>0.95</v>
      </c>
      <c r="P592" s="10">
        <f t="shared" si="155"/>
        <v>0.95</v>
      </c>
      <c r="Q592" s="10">
        <f t="shared" si="155"/>
        <v>0.95</v>
      </c>
      <c r="R592" s="31"/>
      <c r="S592" s="165">
        <f>SUMPRODUCT(B591:R591,B592:R592)/S591</f>
        <v>0.94999999999999984</v>
      </c>
    </row>
    <row r="593" spans="1:19">
      <c r="A593" s="6"/>
      <c r="B593" s="4"/>
      <c r="C593" s="4"/>
      <c r="D593" s="4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11"/>
    </row>
    <row r="594" spans="1:19">
      <c r="A594" s="39" t="s">
        <v>194</v>
      </c>
      <c r="B594" s="4"/>
      <c r="C594" s="4"/>
      <c r="D594" s="4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11"/>
    </row>
    <row r="595" spans="1:19">
      <c r="A595" s="5" t="s">
        <v>188</v>
      </c>
      <c r="B595" s="4"/>
      <c r="C595" s="4"/>
      <c r="D595" s="4"/>
      <c r="E595" s="31">
        <f>'Phys Input'!$C$106</f>
        <v>4500</v>
      </c>
      <c r="F595" s="31">
        <f>'Phys Input'!$C$106</f>
        <v>4500</v>
      </c>
      <c r="G595" s="31">
        <f>'Phys Input'!$C$106</f>
        <v>4500</v>
      </c>
      <c r="H595" s="31">
        <f>'Phys Input'!$C$106</f>
        <v>4500</v>
      </c>
      <c r="I595" s="31">
        <f>'Phys Input'!$C$106</f>
        <v>4500</v>
      </c>
      <c r="J595" s="31">
        <f>'Phys Input'!$C$106</f>
        <v>4500</v>
      </c>
      <c r="K595" s="31">
        <f>'Phys Input'!$C$106</f>
        <v>4500</v>
      </c>
      <c r="L595" s="31">
        <f>'Phys Input'!$C$106</f>
        <v>4500</v>
      </c>
      <c r="M595" s="31">
        <f>'Phys Input'!$C$106</f>
        <v>4500</v>
      </c>
      <c r="N595" s="31">
        <f>'Phys Input'!$C$106</f>
        <v>4500</v>
      </c>
      <c r="O595" s="31">
        <f>'Phys Input'!$C$106</f>
        <v>4500</v>
      </c>
      <c r="P595" s="31">
        <f>'Phys Input'!$C$106</f>
        <v>4500</v>
      </c>
      <c r="Q595" s="31"/>
      <c r="R595" s="31"/>
      <c r="S595" s="11"/>
    </row>
    <row r="596" spans="1:19">
      <c r="A596" s="5" t="s">
        <v>180</v>
      </c>
      <c r="B596" s="4"/>
      <c r="C596" s="4"/>
      <c r="D596" s="4"/>
      <c r="E596" s="10">
        <f>E592</f>
        <v>0.95</v>
      </c>
      <c r="F596" s="10">
        <f t="shared" ref="F596:P596" si="156">F592</f>
        <v>0.95</v>
      </c>
      <c r="G596" s="10">
        <f t="shared" si="156"/>
        <v>0.95</v>
      </c>
      <c r="H596" s="10">
        <f t="shared" si="156"/>
        <v>0.95</v>
      </c>
      <c r="I596" s="10">
        <f t="shared" si="156"/>
        <v>0.95</v>
      </c>
      <c r="J596" s="10">
        <f t="shared" si="156"/>
        <v>0.95</v>
      </c>
      <c r="K596" s="10">
        <f t="shared" si="156"/>
        <v>0.95</v>
      </c>
      <c r="L596" s="10">
        <f t="shared" si="156"/>
        <v>0.95</v>
      </c>
      <c r="M596" s="10">
        <f t="shared" si="156"/>
        <v>0.95</v>
      </c>
      <c r="N596" s="10">
        <f t="shared" si="156"/>
        <v>0.95</v>
      </c>
      <c r="O596" s="10">
        <f t="shared" si="156"/>
        <v>0.95</v>
      </c>
      <c r="P596" s="10">
        <f t="shared" si="156"/>
        <v>0.95</v>
      </c>
      <c r="Q596" s="31"/>
      <c r="R596" s="31"/>
      <c r="S596" s="11"/>
    </row>
    <row r="597" spans="1:19">
      <c r="A597" s="6"/>
      <c r="B597" s="4"/>
      <c r="C597" s="4"/>
      <c r="D597" s="4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11"/>
    </row>
    <row r="598" spans="1:19">
      <c r="A598" s="39" t="s">
        <v>277</v>
      </c>
      <c r="B598" s="4"/>
      <c r="C598" s="4"/>
      <c r="D598" s="4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11"/>
    </row>
    <row r="599" spans="1:19">
      <c r="A599" s="5" t="s">
        <v>188</v>
      </c>
      <c r="B599" s="187"/>
      <c r="C599" s="187"/>
      <c r="D599" s="187"/>
      <c r="E599" s="91">
        <f>D595+E591-E595</f>
        <v>70401.01062500001</v>
      </c>
      <c r="F599" s="91">
        <f t="shared" ref="F599:Q599" si="157">E595+F591-F595</f>
        <v>99999.999999999985</v>
      </c>
      <c r="G599" s="91">
        <f t="shared" si="157"/>
        <v>99999.999999999985</v>
      </c>
      <c r="H599" s="91">
        <f t="shared" si="157"/>
        <v>100000</v>
      </c>
      <c r="I599" s="91">
        <f t="shared" si="157"/>
        <v>100000</v>
      </c>
      <c r="J599" s="91">
        <f t="shared" si="157"/>
        <v>100000</v>
      </c>
      <c r="K599" s="91">
        <f t="shared" si="157"/>
        <v>99999.999999999985</v>
      </c>
      <c r="L599" s="91">
        <f t="shared" si="157"/>
        <v>99999.999999999985</v>
      </c>
      <c r="M599" s="91">
        <f t="shared" si="157"/>
        <v>100000</v>
      </c>
      <c r="N599" s="91">
        <f t="shared" si="157"/>
        <v>100000</v>
      </c>
      <c r="O599" s="91">
        <f t="shared" si="157"/>
        <v>100000</v>
      </c>
      <c r="P599" s="91">
        <f t="shared" si="157"/>
        <v>100000</v>
      </c>
      <c r="Q599" s="91">
        <f t="shared" si="157"/>
        <v>171601.06391719976</v>
      </c>
      <c r="R599" s="91"/>
      <c r="S599" s="92">
        <f t="shared" ref="S599" si="158">SUM(B599:R599)</f>
        <v>1342002.0745422</v>
      </c>
    </row>
    <row r="600" spans="1:19">
      <c r="A600" s="5" t="s">
        <v>180</v>
      </c>
      <c r="B600" s="187"/>
      <c r="C600" s="187"/>
      <c r="D600" s="187"/>
      <c r="E600" s="177">
        <f>(D595*D596+E591*E592-E595*E596)/E599</f>
        <v>0.95</v>
      </c>
      <c r="F600" s="177">
        <f t="shared" ref="F600" si="159">(E595*E596+F591*F592-F595*F596)/F599</f>
        <v>0.95</v>
      </c>
      <c r="G600" s="177">
        <f t="shared" ref="G600" si="160">(F595*F596+G591*G592-G595*G596)/G599</f>
        <v>0.95</v>
      </c>
      <c r="H600" s="177">
        <f t="shared" ref="H600" si="161">(G595*G596+H591*H592-H595*H596)/H599</f>
        <v>0.95</v>
      </c>
      <c r="I600" s="177">
        <f t="shared" ref="I600" si="162">(H595*H596+I591*I592-I595*I596)/I599</f>
        <v>0.95</v>
      </c>
      <c r="J600" s="177">
        <f t="shared" ref="J600" si="163">(I595*I596+J591*J592-J595*J596)/J599</f>
        <v>0.95</v>
      </c>
      <c r="K600" s="177">
        <f t="shared" ref="K600" si="164">(J595*J596+K591*K592-K595*K596)/K599</f>
        <v>0.95</v>
      </c>
      <c r="L600" s="177">
        <f t="shared" ref="L600" si="165">(K595*K596+L591*L592-L595*L596)/L599</f>
        <v>0.95</v>
      </c>
      <c r="M600" s="177">
        <f t="shared" ref="M600" si="166">(L595*L596+M591*M592-M595*M596)/M599</f>
        <v>0.95</v>
      </c>
      <c r="N600" s="177">
        <f t="shared" ref="N600" si="167">(M595*M596+N591*N592-N595*N596)/N599</f>
        <v>0.95</v>
      </c>
      <c r="O600" s="177">
        <f t="shared" ref="O600" si="168">(N595*N596+O591*O592-O595*O596)/O599</f>
        <v>0.95</v>
      </c>
      <c r="P600" s="177">
        <f t="shared" ref="P600" si="169">(O595*O596+P591*P592-P595*P596)/P599</f>
        <v>0.95</v>
      </c>
      <c r="Q600" s="177">
        <f t="shared" ref="Q600" si="170">(P595*P596+Q591*Q592-Q595*Q596)/Q599</f>
        <v>0.95</v>
      </c>
      <c r="R600" s="91"/>
      <c r="S600" s="178">
        <f>SUMPRODUCT(B599:R599,B600:R600)/S599</f>
        <v>0.94999999999999984</v>
      </c>
    </row>
    <row r="601" spans="1:19">
      <c r="A601" s="8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8"/>
    </row>
    <row r="604" spans="1:19">
      <c r="A604" s="13" t="s">
        <v>0</v>
      </c>
      <c r="B604" s="77"/>
      <c r="C604" s="77"/>
      <c r="D604" s="77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5"/>
    </row>
    <row r="605" spans="1:19">
      <c r="A605" s="16" t="str">
        <f>Title!$F$10</f>
        <v>ARTHUR RIVER MAGNESITE PROJECT</v>
      </c>
      <c r="B605" s="78"/>
      <c r="C605" s="78"/>
      <c r="D605" s="78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</row>
    <row r="606" spans="1:19">
      <c r="A606" s="16" t="str">
        <f>Title!$F$12</f>
        <v>ORDER OF MAGNITUDE COST STUDY: CALCINE PRODUCTION ONLY</v>
      </c>
      <c r="B606" s="78"/>
      <c r="C606" s="78"/>
      <c r="D606" s="78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</row>
    <row r="607" spans="1:19">
      <c r="A607" s="19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 t="str">
        <f>Title!$F$19</f>
        <v>3 October 2011</v>
      </c>
      <c r="S607" s="18"/>
    </row>
    <row r="608" spans="1:19">
      <c r="A608" s="20" t="s">
        <v>346</v>
      </c>
      <c r="B608" s="79"/>
      <c r="C608" s="79"/>
      <c r="D608" s="79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</row>
    <row r="609" spans="1:20">
      <c r="A609" s="46"/>
      <c r="B609" s="41" t="s">
        <v>26</v>
      </c>
      <c r="C609" s="41" t="s">
        <v>26</v>
      </c>
      <c r="D609" s="41" t="s">
        <v>26</v>
      </c>
      <c r="E609" s="41" t="s">
        <v>26</v>
      </c>
      <c r="F609" s="41" t="s">
        <v>26</v>
      </c>
      <c r="G609" s="41" t="s">
        <v>26</v>
      </c>
      <c r="H609" s="41" t="s">
        <v>26</v>
      </c>
      <c r="I609" s="41" t="s">
        <v>26</v>
      </c>
      <c r="J609" s="41" t="s">
        <v>26</v>
      </c>
      <c r="K609" s="41" t="s">
        <v>26</v>
      </c>
      <c r="L609" s="41" t="s">
        <v>26</v>
      </c>
      <c r="M609" s="41" t="s">
        <v>26</v>
      </c>
      <c r="N609" s="41" t="s">
        <v>26</v>
      </c>
      <c r="O609" s="41" t="s">
        <v>26</v>
      </c>
      <c r="P609" s="41" t="s">
        <v>26</v>
      </c>
      <c r="Q609" s="41" t="s">
        <v>26</v>
      </c>
      <c r="R609" s="41"/>
      <c r="S609" s="42" t="s">
        <v>5</v>
      </c>
      <c r="T609" s="86" t="s">
        <v>32</v>
      </c>
    </row>
    <row r="610" spans="1:20">
      <c r="A610" s="8"/>
      <c r="B610" s="43">
        <v>-3</v>
      </c>
      <c r="C610" s="43">
        <v>-2</v>
      </c>
      <c r="D610" s="43">
        <v>-1</v>
      </c>
      <c r="E610" s="43">
        <v>1</v>
      </c>
      <c r="F610" s="43">
        <v>2</v>
      </c>
      <c r="G610" s="43">
        <v>3</v>
      </c>
      <c r="H610" s="43">
        <v>4</v>
      </c>
      <c r="I610" s="43">
        <v>5</v>
      </c>
      <c r="J610" s="43">
        <v>6</v>
      </c>
      <c r="K610" s="43">
        <v>7</v>
      </c>
      <c r="L610" s="43">
        <v>8</v>
      </c>
      <c r="M610" s="43">
        <v>9</v>
      </c>
      <c r="N610" s="43">
        <v>10</v>
      </c>
      <c r="O610" s="43">
        <v>11</v>
      </c>
      <c r="P610" s="43">
        <v>12</v>
      </c>
      <c r="Q610" s="43">
        <v>13</v>
      </c>
      <c r="R610" s="43"/>
      <c r="S610" s="47"/>
    </row>
    <row r="611" spans="1:20">
      <c r="A611" s="5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11"/>
      <c r="T611" s="2"/>
    </row>
    <row r="612" spans="1:20">
      <c r="A612" s="39" t="s">
        <v>356</v>
      </c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11"/>
      <c r="T612" s="2"/>
    </row>
    <row r="613" spans="1:20">
      <c r="A613" s="39" t="s">
        <v>320</v>
      </c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11"/>
    </row>
    <row r="614" spans="1:20">
      <c r="A614" s="5" t="s">
        <v>355</v>
      </c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11"/>
    </row>
    <row r="615" spans="1:20">
      <c r="A615" s="185" t="s">
        <v>329</v>
      </c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11"/>
    </row>
    <row r="616" spans="1:20">
      <c r="A616" s="5" t="s">
        <v>355</v>
      </c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11"/>
    </row>
    <row r="617" spans="1:20">
      <c r="A617" s="39" t="s">
        <v>244</v>
      </c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11"/>
    </row>
    <row r="618" spans="1:20">
      <c r="A618" s="5" t="s">
        <v>350</v>
      </c>
      <c r="B618" s="31"/>
      <c r="C618" s="31"/>
      <c r="D618" s="31"/>
      <c r="E618" s="31">
        <f>E583*'Phys Input'!$B$85/1000</f>
        <v>922812.12750000018</v>
      </c>
      <c r="F618" s="31">
        <f>F583*'Phys Input'!$B$85/1000</f>
        <v>1199999.9999999998</v>
      </c>
      <c r="G618" s="31">
        <f>G583*'Phys Input'!$B$85/1000</f>
        <v>1199999.9999999998</v>
      </c>
      <c r="H618" s="31">
        <f>H583*'Phys Input'!$B$85/1000</f>
        <v>1200000</v>
      </c>
      <c r="I618" s="31">
        <f>I583*'Phys Input'!$B$85/1000</f>
        <v>1200000</v>
      </c>
      <c r="J618" s="31">
        <f>J583*'Phys Input'!$B$85/1000</f>
        <v>1200000</v>
      </c>
      <c r="K618" s="31">
        <f>K583*'Phys Input'!$B$85/1000</f>
        <v>1199999.9999999998</v>
      </c>
      <c r="L618" s="31">
        <f>L583*'Phys Input'!$B$85/1000</f>
        <v>1199999.9999999998</v>
      </c>
      <c r="M618" s="31">
        <f>M583*'Phys Input'!$B$85/1000</f>
        <v>1200000</v>
      </c>
      <c r="N618" s="31">
        <f>N583*'Phys Input'!$B$85/1000</f>
        <v>1200000</v>
      </c>
      <c r="O618" s="31">
        <f>O583*'Phys Input'!$B$85/1000</f>
        <v>1200000</v>
      </c>
      <c r="P618" s="31">
        <f>P583*'Phys Input'!$B$85/1000</f>
        <v>1200000</v>
      </c>
      <c r="Q618" s="31">
        <f>Q583*'Phys Input'!$B$85/1000</f>
        <v>1981212.7670063972</v>
      </c>
      <c r="R618" s="31"/>
      <c r="S618" s="11">
        <f t="shared" ref="S618" si="171">SUM(B618:R618)</f>
        <v>16104024.894506397</v>
      </c>
    </row>
    <row r="619" spans="1:20">
      <c r="A619" s="5" t="s">
        <v>355</v>
      </c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11"/>
    </row>
    <row r="620" spans="1:20">
      <c r="A620" s="6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11"/>
    </row>
    <row r="621" spans="1:20">
      <c r="A621" s="39" t="s">
        <v>357</v>
      </c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11"/>
    </row>
    <row r="622" spans="1:20">
      <c r="A622" s="39" t="s">
        <v>364</v>
      </c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11"/>
    </row>
    <row r="623" spans="1:20">
      <c r="A623" s="5" t="s">
        <v>358</v>
      </c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11"/>
    </row>
    <row r="624" spans="1:20">
      <c r="A624" s="5" t="s">
        <v>359</v>
      </c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11"/>
    </row>
    <row r="625" spans="1:19">
      <c r="A625" s="5" t="s">
        <v>259</v>
      </c>
      <c r="B625" s="31"/>
      <c r="C625" s="31"/>
      <c r="D625" s="31"/>
      <c r="E625" s="31">
        <f>E543*'Phys Input'!$B72/1000</f>
        <v>1181.2748146618092</v>
      </c>
      <c r="F625" s="31">
        <f>F543*'Phys Input'!$B72/1000</f>
        <v>1659.7140594009111</v>
      </c>
      <c r="G625" s="31">
        <f>G543*'Phys Input'!$B72/1000</f>
        <v>1476.579087600795</v>
      </c>
      <c r="H625" s="31">
        <f>H543*'Phys Input'!$B72/1000</f>
        <v>1444.8837169746121</v>
      </c>
      <c r="I625" s="31">
        <f>I543*'Phys Input'!$B72/1000</f>
        <v>1453.5094326097192</v>
      </c>
      <c r="J625" s="31">
        <f>J543*'Phys Input'!$B72/1000</f>
        <v>1459.855008132068</v>
      </c>
      <c r="K625" s="31">
        <f>K543*'Phys Input'!$B72/1000</f>
        <v>1484.4052642666395</v>
      </c>
      <c r="L625" s="31">
        <f>L543*'Phys Input'!$B72/1000</f>
        <v>1448.9802894484878</v>
      </c>
      <c r="M625" s="31">
        <f>M543*'Phys Input'!$B72/1000</f>
        <v>1464.9500464132921</v>
      </c>
      <c r="N625" s="31">
        <f>N543*'Phys Input'!$B72/1000</f>
        <v>1502.7660270350846</v>
      </c>
      <c r="O625" s="31">
        <f>O543*'Phys Input'!$B72/1000</f>
        <v>1543.0080897859818</v>
      </c>
      <c r="P625" s="31">
        <f>P543*'Phys Input'!$B72/1000</f>
        <v>1561.0466650621456</v>
      </c>
      <c r="Q625" s="31">
        <f>Q543*'Phys Input'!$B72/1000</f>
        <v>2351.5349986084548</v>
      </c>
      <c r="R625" s="31"/>
      <c r="S625" s="11">
        <f t="shared" ref="S625:S627" si="172">SUM(B625:R625)</f>
        <v>20032.5075</v>
      </c>
    </row>
    <row r="626" spans="1:19">
      <c r="A626" s="5" t="s">
        <v>23</v>
      </c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11"/>
    </row>
    <row r="627" spans="1:19">
      <c r="A627" s="5" t="s">
        <v>80</v>
      </c>
      <c r="B627" s="31"/>
      <c r="C627" s="31"/>
      <c r="D627" s="31"/>
      <c r="E627" s="31">
        <f>SUM(E623:E626)</f>
        <v>1181.2748146618092</v>
      </c>
      <c r="F627" s="31">
        <f t="shared" ref="F627:Q627" si="173">SUM(F623:F626)</f>
        <v>1659.7140594009111</v>
      </c>
      <c r="G627" s="31">
        <f t="shared" si="173"/>
        <v>1476.579087600795</v>
      </c>
      <c r="H627" s="31">
        <f t="shared" si="173"/>
        <v>1444.8837169746121</v>
      </c>
      <c r="I627" s="31">
        <f t="shared" si="173"/>
        <v>1453.5094326097192</v>
      </c>
      <c r="J627" s="31">
        <f t="shared" si="173"/>
        <v>1459.855008132068</v>
      </c>
      <c r="K627" s="31">
        <f t="shared" si="173"/>
        <v>1484.4052642666395</v>
      </c>
      <c r="L627" s="31">
        <f t="shared" si="173"/>
        <v>1448.9802894484878</v>
      </c>
      <c r="M627" s="31">
        <f t="shared" si="173"/>
        <v>1464.9500464132921</v>
      </c>
      <c r="N627" s="31">
        <f t="shared" si="173"/>
        <v>1502.7660270350846</v>
      </c>
      <c r="O627" s="31">
        <f t="shared" si="173"/>
        <v>1543.0080897859818</v>
      </c>
      <c r="P627" s="31">
        <f t="shared" si="173"/>
        <v>1561.0466650621456</v>
      </c>
      <c r="Q627" s="31">
        <f t="shared" si="173"/>
        <v>2351.5349986084548</v>
      </c>
      <c r="R627" s="31"/>
      <c r="S627" s="11">
        <f t="shared" si="172"/>
        <v>20032.5075</v>
      </c>
    </row>
    <row r="628" spans="1:19">
      <c r="A628" s="39" t="s">
        <v>363</v>
      </c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11"/>
    </row>
    <row r="629" spans="1:19">
      <c r="A629" s="5" t="s">
        <v>80</v>
      </c>
      <c r="B629" s="31"/>
      <c r="C629" s="31"/>
      <c r="D629" s="31"/>
      <c r="E629" s="31">
        <f>E583*'Phys Input'!$B86/1000</f>
        <v>15380.202125000002</v>
      </c>
      <c r="F629" s="31">
        <f>F583*'Phys Input'!$B86/1000</f>
        <v>19999.999999999996</v>
      </c>
      <c r="G629" s="31">
        <f>G583*'Phys Input'!$B86/1000</f>
        <v>19999.999999999996</v>
      </c>
      <c r="H629" s="31">
        <f>H583*'Phys Input'!$B86/1000</f>
        <v>20000</v>
      </c>
      <c r="I629" s="31">
        <f>I583*'Phys Input'!$B86/1000</f>
        <v>20000</v>
      </c>
      <c r="J629" s="31">
        <f>J583*'Phys Input'!$B86/1000</f>
        <v>20000</v>
      </c>
      <c r="K629" s="31">
        <f>K583*'Phys Input'!$B86/1000</f>
        <v>19999.999999999996</v>
      </c>
      <c r="L629" s="31">
        <f>L583*'Phys Input'!$B86/1000</f>
        <v>19999.999999999996</v>
      </c>
      <c r="M629" s="31">
        <f>M583*'Phys Input'!$B86/1000</f>
        <v>20000</v>
      </c>
      <c r="N629" s="31">
        <f>N583*'Phys Input'!$B86/1000</f>
        <v>20000</v>
      </c>
      <c r="O629" s="31">
        <f>O583*'Phys Input'!$B86/1000</f>
        <v>20000</v>
      </c>
      <c r="P629" s="31">
        <f>P583*'Phys Input'!$B86/1000</f>
        <v>20000</v>
      </c>
      <c r="Q629" s="31">
        <f>Q583*'Phys Input'!$B86/1000</f>
        <v>33020.212783439951</v>
      </c>
      <c r="R629" s="31"/>
      <c r="S629" s="11">
        <f t="shared" ref="S629:S631" si="174">SUM(B629:R629)</f>
        <v>268400.41490843991</v>
      </c>
    </row>
    <row r="630" spans="1:19">
      <c r="A630" s="39" t="s">
        <v>5</v>
      </c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11"/>
    </row>
    <row r="631" spans="1:19">
      <c r="A631" s="5" t="s">
        <v>456</v>
      </c>
      <c r="B631" s="91"/>
      <c r="C631" s="91"/>
      <c r="D631" s="91"/>
      <c r="E631" s="91">
        <f>E627+E629</f>
        <v>16561.47693966181</v>
      </c>
      <c r="F631" s="91">
        <f t="shared" ref="F631:Q631" si="175">F627+F629</f>
        <v>21659.714059400907</v>
      </c>
      <c r="G631" s="91">
        <f t="shared" si="175"/>
        <v>21476.579087600792</v>
      </c>
      <c r="H631" s="91">
        <f t="shared" si="175"/>
        <v>21444.883716974611</v>
      </c>
      <c r="I631" s="91">
        <f t="shared" si="175"/>
        <v>21453.509432609721</v>
      </c>
      <c r="J631" s="91">
        <f t="shared" si="175"/>
        <v>21459.855008132068</v>
      </c>
      <c r="K631" s="91">
        <f t="shared" si="175"/>
        <v>21484.405264266636</v>
      </c>
      <c r="L631" s="91">
        <f t="shared" si="175"/>
        <v>21448.980289448486</v>
      </c>
      <c r="M631" s="91">
        <f t="shared" si="175"/>
        <v>21464.950046413291</v>
      </c>
      <c r="N631" s="91">
        <f t="shared" si="175"/>
        <v>21502.766027035086</v>
      </c>
      <c r="O631" s="91">
        <f t="shared" si="175"/>
        <v>21543.008089785981</v>
      </c>
      <c r="P631" s="91">
        <f t="shared" si="175"/>
        <v>21561.046665062146</v>
      </c>
      <c r="Q631" s="91">
        <f t="shared" si="175"/>
        <v>35371.747782048405</v>
      </c>
      <c r="R631" s="91"/>
      <c r="S631" s="92">
        <f t="shared" si="174"/>
        <v>288432.92240843992</v>
      </c>
    </row>
    <row r="632" spans="1:19">
      <c r="A632" s="5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11"/>
    </row>
    <row r="633" spans="1:19">
      <c r="A633" s="8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8"/>
    </row>
    <row r="636" spans="1:19">
      <c r="A636" s="13" t="s">
        <v>0</v>
      </c>
      <c r="B636" s="77"/>
      <c r="C636" s="77"/>
      <c r="D636" s="77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5"/>
    </row>
    <row r="637" spans="1:19">
      <c r="A637" s="16" t="str">
        <f>Title!$F$10</f>
        <v>ARTHUR RIVER MAGNESITE PROJECT</v>
      </c>
      <c r="B637" s="78"/>
      <c r="C637" s="78"/>
      <c r="D637" s="78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8"/>
    </row>
    <row r="638" spans="1:19">
      <c r="A638" s="16" t="str">
        <f>Title!$F$12</f>
        <v>ORDER OF MAGNITUDE COST STUDY: CALCINE PRODUCTION ONLY</v>
      </c>
      <c r="B638" s="78"/>
      <c r="C638" s="78"/>
      <c r="D638" s="78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8"/>
    </row>
    <row r="639" spans="1:19">
      <c r="A639" s="19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 t="str">
        <f>Title!$F$19</f>
        <v>3 October 2011</v>
      </c>
      <c r="R639" s="18"/>
    </row>
    <row r="640" spans="1:19">
      <c r="A640" s="20" t="s">
        <v>463</v>
      </c>
      <c r="B640" s="79"/>
      <c r="C640" s="79"/>
      <c r="D640" s="79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2"/>
    </row>
    <row r="641" spans="1:20">
      <c r="A641" s="46"/>
      <c r="B641" s="41" t="s">
        <v>26</v>
      </c>
      <c r="C641" s="41" t="s">
        <v>26</v>
      </c>
      <c r="D641" s="41" t="s">
        <v>26</v>
      </c>
      <c r="E641" s="41" t="s">
        <v>26</v>
      </c>
      <c r="F641" s="41" t="s">
        <v>26</v>
      </c>
      <c r="G641" s="41" t="s">
        <v>26</v>
      </c>
      <c r="H641" s="41" t="s">
        <v>26</v>
      </c>
      <c r="I641" s="41" t="s">
        <v>26</v>
      </c>
      <c r="J641" s="41" t="s">
        <v>26</v>
      </c>
      <c r="K641" s="41" t="s">
        <v>26</v>
      </c>
      <c r="L641" s="41" t="s">
        <v>26</v>
      </c>
      <c r="M641" s="41" t="s">
        <v>26</v>
      </c>
      <c r="N641" s="41" t="s">
        <v>26</v>
      </c>
      <c r="O641" s="41" t="s">
        <v>26</v>
      </c>
      <c r="P641" s="41" t="s">
        <v>26</v>
      </c>
      <c r="Q641" s="41" t="s">
        <v>26</v>
      </c>
      <c r="R641" s="62"/>
      <c r="T641" s="86" t="s">
        <v>510</v>
      </c>
    </row>
    <row r="642" spans="1:20">
      <c r="A642" s="8"/>
      <c r="B642" s="43">
        <v>-3</v>
      </c>
      <c r="C642" s="43">
        <v>-2</v>
      </c>
      <c r="D642" s="43">
        <v>-1</v>
      </c>
      <c r="E642" s="43">
        <v>1</v>
      </c>
      <c r="F642" s="43">
        <v>2</v>
      </c>
      <c r="G642" s="43">
        <v>3</v>
      </c>
      <c r="H642" s="43">
        <v>4</v>
      </c>
      <c r="I642" s="43">
        <v>5</v>
      </c>
      <c r="J642" s="43">
        <v>6</v>
      </c>
      <c r="K642" s="43">
        <v>7</v>
      </c>
      <c r="L642" s="43">
        <v>8</v>
      </c>
      <c r="M642" s="43">
        <v>9</v>
      </c>
      <c r="N642" s="43">
        <v>10</v>
      </c>
      <c r="O642" s="43">
        <v>11</v>
      </c>
      <c r="P642" s="43">
        <v>12</v>
      </c>
      <c r="Q642" s="43">
        <v>13</v>
      </c>
      <c r="R642" s="64"/>
    </row>
    <row r="643" spans="1:20">
      <c r="A643" s="5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188"/>
    </row>
    <row r="644" spans="1:20">
      <c r="A644" s="39" t="s">
        <v>318</v>
      </c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188"/>
    </row>
    <row r="645" spans="1:20">
      <c r="A645" s="39" t="s">
        <v>319</v>
      </c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140"/>
    </row>
    <row r="646" spans="1:20">
      <c r="A646" s="5" t="s">
        <v>464</v>
      </c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45"/>
      <c r="R646" s="140"/>
    </row>
    <row r="647" spans="1:20">
      <c r="A647" s="102" t="s">
        <v>465</v>
      </c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45"/>
      <c r="R647" s="140"/>
    </row>
    <row r="648" spans="1:20">
      <c r="A648" s="102" t="s">
        <v>466</v>
      </c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45"/>
      <c r="R648" s="140"/>
    </row>
    <row r="649" spans="1:20">
      <c r="A649" s="102" t="s">
        <v>473</v>
      </c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45"/>
      <c r="R649" s="140"/>
    </row>
    <row r="650" spans="1:20">
      <c r="A650" s="185" t="s">
        <v>736</v>
      </c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45"/>
      <c r="R650" s="140"/>
    </row>
    <row r="651" spans="1:20">
      <c r="A651" s="102" t="s">
        <v>686</v>
      </c>
      <c r="B651" s="31"/>
      <c r="C651" s="31"/>
      <c r="D651" s="31"/>
      <c r="E651" s="31">
        <v>1</v>
      </c>
      <c r="F651" s="31">
        <v>1</v>
      </c>
      <c r="G651" s="31">
        <v>1</v>
      </c>
      <c r="H651" s="31">
        <v>1</v>
      </c>
      <c r="I651" s="31">
        <v>1</v>
      </c>
      <c r="J651" s="31">
        <v>1</v>
      </c>
      <c r="K651" s="31">
        <v>1</v>
      </c>
      <c r="L651" s="31">
        <v>1</v>
      </c>
      <c r="M651" s="31">
        <v>1</v>
      </c>
      <c r="N651" s="31">
        <v>1</v>
      </c>
      <c r="O651" s="31">
        <v>1</v>
      </c>
      <c r="P651" s="31">
        <v>1</v>
      </c>
      <c r="Q651" s="31">
        <v>1</v>
      </c>
      <c r="R651" s="140"/>
    </row>
    <row r="652" spans="1:20">
      <c r="A652" s="102" t="s">
        <v>533</v>
      </c>
      <c r="B652" s="31"/>
      <c r="C652" s="31"/>
      <c r="D652" s="31"/>
      <c r="E652" s="31">
        <v>1</v>
      </c>
      <c r="F652" s="31">
        <v>1</v>
      </c>
      <c r="G652" s="31">
        <v>1</v>
      </c>
      <c r="H652" s="31">
        <v>1</v>
      </c>
      <c r="I652" s="31">
        <v>1</v>
      </c>
      <c r="J652" s="31">
        <v>1</v>
      </c>
      <c r="K652" s="31">
        <v>1</v>
      </c>
      <c r="L652" s="31">
        <v>1</v>
      </c>
      <c r="M652" s="31">
        <v>1</v>
      </c>
      <c r="N652" s="31">
        <v>1</v>
      </c>
      <c r="O652" s="31">
        <v>1</v>
      </c>
      <c r="P652" s="31">
        <v>1</v>
      </c>
      <c r="Q652" s="31">
        <v>1</v>
      </c>
      <c r="R652" s="140"/>
    </row>
    <row r="653" spans="1:20">
      <c r="A653" s="5" t="s">
        <v>464</v>
      </c>
      <c r="B653" s="31"/>
      <c r="C653" s="31"/>
      <c r="D653" s="31"/>
      <c r="E653" s="31">
        <v>2</v>
      </c>
      <c r="F653" s="31">
        <v>2</v>
      </c>
      <c r="G653" s="31">
        <v>2</v>
      </c>
      <c r="H653" s="31">
        <v>2</v>
      </c>
      <c r="I653" s="31">
        <v>2</v>
      </c>
      <c r="J653" s="31">
        <v>2</v>
      </c>
      <c r="K653" s="31">
        <v>2</v>
      </c>
      <c r="L653" s="31">
        <v>2</v>
      </c>
      <c r="M653" s="31">
        <v>2</v>
      </c>
      <c r="N653" s="31">
        <v>2</v>
      </c>
      <c r="O653" s="31">
        <v>2</v>
      </c>
      <c r="P653" s="31">
        <v>2</v>
      </c>
      <c r="Q653" s="31">
        <v>2</v>
      </c>
      <c r="R653" s="140"/>
    </row>
    <row r="654" spans="1:20">
      <c r="A654" s="5" t="s">
        <v>747</v>
      </c>
      <c r="B654" s="31"/>
      <c r="C654" s="31"/>
      <c r="D654" s="31"/>
      <c r="E654" s="31">
        <v>1</v>
      </c>
      <c r="F654" s="31">
        <v>1</v>
      </c>
      <c r="G654" s="31">
        <v>1</v>
      </c>
      <c r="H654" s="31">
        <v>1</v>
      </c>
      <c r="I654" s="31">
        <v>1</v>
      </c>
      <c r="J654" s="31">
        <v>1</v>
      </c>
      <c r="K654" s="31">
        <v>1</v>
      </c>
      <c r="L654" s="31">
        <v>1</v>
      </c>
      <c r="M654" s="31">
        <v>1</v>
      </c>
      <c r="N654" s="31">
        <v>1</v>
      </c>
      <c r="O654" s="31">
        <v>1</v>
      </c>
      <c r="P654" s="31">
        <v>1</v>
      </c>
      <c r="Q654" s="31">
        <v>1</v>
      </c>
      <c r="R654" s="140"/>
    </row>
    <row r="655" spans="1:20">
      <c r="A655" s="102" t="s">
        <v>471</v>
      </c>
      <c r="B655" s="31"/>
      <c r="C655" s="31"/>
      <c r="D655" s="31"/>
      <c r="E655" s="31">
        <v>1</v>
      </c>
      <c r="F655" s="31">
        <v>1</v>
      </c>
      <c r="G655" s="31">
        <v>1</v>
      </c>
      <c r="H655" s="31">
        <v>1</v>
      </c>
      <c r="I655" s="31">
        <v>1</v>
      </c>
      <c r="J655" s="31">
        <v>1</v>
      </c>
      <c r="K655" s="31">
        <v>1</v>
      </c>
      <c r="L655" s="31">
        <v>1</v>
      </c>
      <c r="M655" s="31">
        <v>1</v>
      </c>
      <c r="N655" s="31">
        <v>1</v>
      </c>
      <c r="O655" s="31">
        <v>1</v>
      </c>
      <c r="P655" s="31">
        <v>1</v>
      </c>
      <c r="Q655" s="31">
        <v>1</v>
      </c>
      <c r="R655" s="140"/>
    </row>
    <row r="656" spans="1:20">
      <c r="A656" s="102" t="s">
        <v>739</v>
      </c>
      <c r="B656" s="31"/>
      <c r="C656" s="31"/>
      <c r="D656" s="31"/>
      <c r="E656" s="31">
        <v>1</v>
      </c>
      <c r="F656" s="31">
        <v>1</v>
      </c>
      <c r="G656" s="31">
        <v>1</v>
      </c>
      <c r="H656" s="31">
        <v>1</v>
      </c>
      <c r="I656" s="31">
        <v>1</v>
      </c>
      <c r="J656" s="31">
        <v>1</v>
      </c>
      <c r="K656" s="31">
        <v>1</v>
      </c>
      <c r="L656" s="31">
        <v>1</v>
      </c>
      <c r="M656" s="31">
        <v>1</v>
      </c>
      <c r="N656" s="31">
        <v>1</v>
      </c>
      <c r="O656" s="31">
        <v>1</v>
      </c>
      <c r="P656" s="31">
        <v>1</v>
      </c>
      <c r="Q656" s="31">
        <v>1</v>
      </c>
      <c r="R656" s="140"/>
    </row>
    <row r="657" spans="1:18">
      <c r="A657" s="185" t="s">
        <v>469</v>
      </c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45"/>
      <c r="R657" s="140"/>
    </row>
    <row r="658" spans="1:18">
      <c r="A658" s="102" t="s">
        <v>470</v>
      </c>
      <c r="B658" s="31"/>
      <c r="C658" s="31"/>
      <c r="D658" s="31">
        <v>0</v>
      </c>
      <c r="E658" s="31">
        <v>0</v>
      </c>
      <c r="F658" s="31">
        <v>0</v>
      </c>
      <c r="G658" s="31">
        <v>0</v>
      </c>
      <c r="H658" s="31">
        <v>0</v>
      </c>
      <c r="I658" s="31">
        <v>0</v>
      </c>
      <c r="J658" s="31">
        <v>0</v>
      </c>
      <c r="K658" s="31">
        <v>0</v>
      </c>
      <c r="L658" s="31">
        <v>0</v>
      </c>
      <c r="M658" s="31">
        <v>0</v>
      </c>
      <c r="N658" s="31">
        <v>0</v>
      </c>
      <c r="O658" s="31">
        <v>0</v>
      </c>
      <c r="P658" s="31">
        <v>0</v>
      </c>
      <c r="Q658" s="45">
        <v>0</v>
      </c>
      <c r="R658" s="140"/>
    </row>
    <row r="659" spans="1:18">
      <c r="A659" s="102" t="s">
        <v>474</v>
      </c>
      <c r="B659" s="31"/>
      <c r="C659" s="31"/>
      <c r="D659" s="31">
        <v>0</v>
      </c>
      <c r="E659" s="31">
        <v>0</v>
      </c>
      <c r="F659" s="31">
        <v>0</v>
      </c>
      <c r="G659" s="31">
        <v>0</v>
      </c>
      <c r="H659" s="31">
        <v>0</v>
      </c>
      <c r="I659" s="31">
        <v>0</v>
      </c>
      <c r="J659" s="31">
        <v>0</v>
      </c>
      <c r="K659" s="31">
        <v>0</v>
      </c>
      <c r="L659" s="31">
        <v>0</v>
      </c>
      <c r="M659" s="31">
        <v>0</v>
      </c>
      <c r="N659" s="31">
        <v>0</v>
      </c>
      <c r="O659" s="31">
        <v>0</v>
      </c>
      <c r="P659" s="31">
        <v>0</v>
      </c>
      <c r="Q659" s="45">
        <v>0</v>
      </c>
      <c r="R659" s="140"/>
    </row>
    <row r="660" spans="1:18">
      <c r="A660" s="102" t="s">
        <v>595</v>
      </c>
      <c r="B660" s="31"/>
      <c r="C660" s="31"/>
      <c r="D660" s="31">
        <v>1</v>
      </c>
      <c r="E660" s="31">
        <v>1</v>
      </c>
      <c r="F660" s="31">
        <v>1</v>
      </c>
      <c r="G660" s="31">
        <v>1</v>
      </c>
      <c r="H660" s="31">
        <v>1</v>
      </c>
      <c r="I660" s="31">
        <v>1</v>
      </c>
      <c r="J660" s="31">
        <v>1</v>
      </c>
      <c r="K660" s="31">
        <v>1</v>
      </c>
      <c r="L660" s="31">
        <v>1</v>
      </c>
      <c r="M660" s="31">
        <v>1</v>
      </c>
      <c r="N660" s="31">
        <v>1</v>
      </c>
      <c r="O660" s="31">
        <v>1</v>
      </c>
      <c r="P660" s="31">
        <v>1</v>
      </c>
      <c r="Q660" s="45">
        <v>0.5</v>
      </c>
      <c r="R660" s="140"/>
    </row>
    <row r="661" spans="1:18">
      <c r="A661" s="185" t="s">
        <v>509</v>
      </c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45"/>
      <c r="R661" s="140"/>
    </row>
    <row r="662" spans="1:18">
      <c r="A662" s="102" t="s">
        <v>467</v>
      </c>
      <c r="B662" s="31"/>
      <c r="C662" s="31"/>
      <c r="D662" s="31"/>
      <c r="E662" s="31">
        <v>1</v>
      </c>
      <c r="F662" s="31">
        <v>1</v>
      </c>
      <c r="G662" s="31">
        <v>1</v>
      </c>
      <c r="H662" s="31">
        <v>1</v>
      </c>
      <c r="I662" s="31">
        <v>1</v>
      </c>
      <c r="J662" s="31">
        <v>1</v>
      </c>
      <c r="K662" s="31">
        <v>1</v>
      </c>
      <c r="L662" s="31">
        <v>1</v>
      </c>
      <c r="M662" s="31">
        <v>1</v>
      </c>
      <c r="N662" s="31">
        <v>1</v>
      </c>
      <c r="O662" s="31">
        <v>1</v>
      </c>
      <c r="P662" s="31">
        <v>1</v>
      </c>
      <c r="Q662" s="45">
        <f>1*0.5</f>
        <v>0.5</v>
      </c>
      <c r="R662" s="140"/>
    </row>
    <row r="663" spans="1:18">
      <c r="A663" s="102" t="s">
        <v>468</v>
      </c>
      <c r="B663" s="31"/>
      <c r="C663" s="31"/>
      <c r="D663" s="31"/>
      <c r="E663" s="31">
        <v>1</v>
      </c>
      <c r="F663" s="31">
        <v>1</v>
      </c>
      <c r="G663" s="31">
        <v>1</v>
      </c>
      <c r="H663" s="31">
        <v>1</v>
      </c>
      <c r="I663" s="31">
        <v>1</v>
      </c>
      <c r="J663" s="31">
        <v>1</v>
      </c>
      <c r="K663" s="31">
        <v>1</v>
      </c>
      <c r="L663" s="31">
        <v>1</v>
      </c>
      <c r="M663" s="31">
        <v>1</v>
      </c>
      <c r="N663" s="31">
        <v>1</v>
      </c>
      <c r="O663" s="31">
        <v>1</v>
      </c>
      <c r="P663" s="31">
        <v>1</v>
      </c>
      <c r="Q663" s="45">
        <f t="shared" ref="Q663:Q664" si="176">1*0.5</f>
        <v>0.5</v>
      </c>
      <c r="R663" s="140"/>
    </row>
    <row r="664" spans="1:18">
      <c r="A664" s="5" t="s">
        <v>562</v>
      </c>
      <c r="B664" s="31"/>
      <c r="C664" s="31"/>
      <c r="D664" s="31"/>
      <c r="E664" s="31">
        <v>1</v>
      </c>
      <c r="F664" s="31">
        <v>1</v>
      </c>
      <c r="G664" s="31">
        <v>1</v>
      </c>
      <c r="H664" s="31">
        <v>1</v>
      </c>
      <c r="I664" s="31">
        <v>1</v>
      </c>
      <c r="J664" s="31">
        <v>1</v>
      </c>
      <c r="K664" s="31">
        <v>1</v>
      </c>
      <c r="L664" s="31">
        <v>1</v>
      </c>
      <c r="M664" s="31">
        <v>1</v>
      </c>
      <c r="N664" s="31">
        <v>1</v>
      </c>
      <c r="O664" s="31">
        <v>1</v>
      </c>
      <c r="P664" s="31">
        <v>1</v>
      </c>
      <c r="Q664" s="45">
        <f t="shared" si="176"/>
        <v>0.5</v>
      </c>
      <c r="R664" s="140"/>
    </row>
    <row r="665" spans="1:18">
      <c r="A665" s="39" t="s">
        <v>80</v>
      </c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45"/>
      <c r="R665" s="140"/>
    </row>
    <row r="666" spans="1:18">
      <c r="A666" s="5" t="s">
        <v>461</v>
      </c>
      <c r="B666" s="31"/>
      <c r="C666" s="31"/>
      <c r="D666" s="31">
        <f>SUM(D655:D664)</f>
        <v>1</v>
      </c>
      <c r="E666" s="31">
        <f>SUM(E655:E664)</f>
        <v>6</v>
      </c>
      <c r="F666" s="31">
        <f t="shared" ref="F666:P666" si="177">SUM(F655:F664)</f>
        <v>6</v>
      </c>
      <c r="G666" s="31">
        <f t="shared" si="177"/>
        <v>6</v>
      </c>
      <c r="H666" s="31">
        <f t="shared" si="177"/>
        <v>6</v>
      </c>
      <c r="I666" s="31">
        <f t="shared" si="177"/>
        <v>6</v>
      </c>
      <c r="J666" s="31">
        <f t="shared" si="177"/>
        <v>6</v>
      </c>
      <c r="K666" s="31">
        <f t="shared" si="177"/>
        <v>6</v>
      </c>
      <c r="L666" s="31">
        <f t="shared" si="177"/>
        <v>6</v>
      </c>
      <c r="M666" s="31">
        <f t="shared" si="177"/>
        <v>6</v>
      </c>
      <c r="N666" s="31">
        <f t="shared" si="177"/>
        <v>6</v>
      </c>
      <c r="O666" s="31">
        <f t="shared" si="177"/>
        <v>6</v>
      </c>
      <c r="P666" s="31">
        <f t="shared" si="177"/>
        <v>6</v>
      </c>
      <c r="Q666" s="45">
        <f>Q615*'Phys Input'!$B$85/1000</f>
        <v>0</v>
      </c>
      <c r="R666" s="140"/>
    </row>
    <row r="667" spans="1:18">
      <c r="A667" s="5" t="s">
        <v>462</v>
      </c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45"/>
      <c r="R667" s="140"/>
    </row>
    <row r="668" spans="1:18">
      <c r="A668" s="6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45"/>
      <c r="R668" s="140"/>
    </row>
    <row r="669" spans="1:18">
      <c r="A669" s="39" t="s">
        <v>475</v>
      </c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45"/>
      <c r="R669" s="140"/>
    </row>
    <row r="670" spans="1:18">
      <c r="A670" s="5" t="s">
        <v>477</v>
      </c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45"/>
      <c r="R670" s="140"/>
    </row>
    <row r="671" spans="1:18">
      <c r="A671" s="5" t="s">
        <v>476</v>
      </c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45"/>
      <c r="R671" s="140"/>
    </row>
    <row r="672" spans="1:18">
      <c r="A672" s="5" t="s">
        <v>478</v>
      </c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45"/>
      <c r="R672" s="140"/>
    </row>
    <row r="673" spans="1:20">
      <c r="A673" s="39" t="s">
        <v>80</v>
      </c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45"/>
      <c r="R673" s="140"/>
    </row>
    <row r="674" spans="1:20">
      <c r="A674" s="5" t="s">
        <v>461</v>
      </c>
      <c r="B674" s="31"/>
      <c r="C674" s="31"/>
      <c r="D674" s="31"/>
      <c r="E674" s="31">
        <v>0</v>
      </c>
      <c r="F674" s="31">
        <v>0</v>
      </c>
      <c r="G674" s="31">
        <v>0</v>
      </c>
      <c r="H674" s="31">
        <v>0</v>
      </c>
      <c r="I674" s="31">
        <v>0</v>
      </c>
      <c r="J674" s="31">
        <v>0</v>
      </c>
      <c r="K674" s="31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45">
        <v>0</v>
      </c>
      <c r="R674" s="140"/>
    </row>
    <row r="675" spans="1:20">
      <c r="A675" s="5" t="s">
        <v>462</v>
      </c>
      <c r="B675" s="31"/>
      <c r="C675" s="31"/>
      <c r="D675" s="31"/>
      <c r="E675" s="31">
        <f>SUM(E670:E673)</f>
        <v>0</v>
      </c>
      <c r="F675" s="31">
        <f t="shared" ref="F675:Q675" si="178">SUM(F670:F673)</f>
        <v>0</v>
      </c>
      <c r="G675" s="31">
        <f t="shared" si="178"/>
        <v>0</v>
      </c>
      <c r="H675" s="31">
        <f t="shared" si="178"/>
        <v>0</v>
      </c>
      <c r="I675" s="31">
        <f t="shared" si="178"/>
        <v>0</v>
      </c>
      <c r="J675" s="31">
        <f t="shared" si="178"/>
        <v>0</v>
      </c>
      <c r="K675" s="31">
        <f t="shared" si="178"/>
        <v>0</v>
      </c>
      <c r="L675" s="31">
        <f t="shared" si="178"/>
        <v>0</v>
      </c>
      <c r="M675" s="31">
        <f t="shared" si="178"/>
        <v>0</v>
      </c>
      <c r="N675" s="31">
        <f t="shared" si="178"/>
        <v>0</v>
      </c>
      <c r="O675" s="31">
        <f t="shared" si="178"/>
        <v>0</v>
      </c>
      <c r="P675" s="31">
        <f t="shared" si="178"/>
        <v>0</v>
      </c>
      <c r="Q675" s="45">
        <f t="shared" si="178"/>
        <v>0</v>
      </c>
      <c r="R675" s="140"/>
    </row>
    <row r="676" spans="1:20">
      <c r="A676" s="5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45"/>
      <c r="R676" s="140"/>
    </row>
    <row r="677" spans="1:20">
      <c r="A677" s="39" t="s">
        <v>472</v>
      </c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45"/>
      <c r="R677" s="140"/>
    </row>
    <row r="678" spans="1:20">
      <c r="A678" s="39" t="s">
        <v>80</v>
      </c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45"/>
      <c r="R678" s="140"/>
    </row>
    <row r="679" spans="1:20">
      <c r="A679" s="5" t="s">
        <v>461</v>
      </c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45"/>
      <c r="R679" s="140"/>
    </row>
    <row r="680" spans="1:20">
      <c r="A680" s="5" t="s">
        <v>479</v>
      </c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45"/>
      <c r="R680" s="140"/>
    </row>
    <row r="681" spans="1:20">
      <c r="A681" s="6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45"/>
      <c r="R681" s="140"/>
    </row>
    <row r="682" spans="1:20">
      <c r="A682" s="39" t="s">
        <v>487</v>
      </c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45"/>
      <c r="R682" s="140"/>
    </row>
    <row r="683" spans="1:20">
      <c r="A683" s="5" t="s">
        <v>577</v>
      </c>
      <c r="B683" s="31"/>
      <c r="C683" s="31"/>
      <c r="D683" s="31">
        <v>1</v>
      </c>
      <c r="E683" s="31">
        <v>1</v>
      </c>
      <c r="F683" s="31">
        <v>1</v>
      </c>
      <c r="G683" s="31">
        <v>1</v>
      </c>
      <c r="H683" s="31">
        <v>1</v>
      </c>
      <c r="I683" s="31">
        <v>1</v>
      </c>
      <c r="J683" s="31">
        <v>1</v>
      </c>
      <c r="K683" s="31">
        <v>1</v>
      </c>
      <c r="L683" s="31">
        <v>1</v>
      </c>
      <c r="M683" s="31">
        <v>1</v>
      </c>
      <c r="N683" s="31">
        <v>1</v>
      </c>
      <c r="O683" s="31">
        <v>1</v>
      </c>
      <c r="P683" s="31">
        <v>1</v>
      </c>
      <c r="Q683" s="45">
        <v>1</v>
      </c>
      <c r="R683" s="140"/>
      <c r="T683" s="81" t="s">
        <v>566</v>
      </c>
    </row>
    <row r="684" spans="1:20">
      <c r="A684" s="5" t="s">
        <v>547</v>
      </c>
      <c r="B684" s="31"/>
      <c r="C684" s="31"/>
      <c r="D684" s="31"/>
      <c r="E684" s="31">
        <v>1</v>
      </c>
      <c r="F684" s="31">
        <v>1</v>
      </c>
      <c r="G684" s="31">
        <v>1</v>
      </c>
      <c r="H684" s="31">
        <v>1</v>
      </c>
      <c r="I684" s="31">
        <v>1</v>
      </c>
      <c r="J684" s="31">
        <v>1</v>
      </c>
      <c r="K684" s="31">
        <v>1</v>
      </c>
      <c r="L684" s="31">
        <v>1</v>
      </c>
      <c r="M684" s="31">
        <v>1</v>
      </c>
      <c r="N684" s="31">
        <v>1</v>
      </c>
      <c r="O684" s="31">
        <v>1</v>
      </c>
      <c r="P684" s="31">
        <v>1</v>
      </c>
      <c r="Q684" s="45">
        <v>1</v>
      </c>
      <c r="R684" s="140"/>
      <c r="T684" s="81" t="s">
        <v>524</v>
      </c>
    </row>
    <row r="685" spans="1:20">
      <c r="A685" s="6" t="s">
        <v>548</v>
      </c>
      <c r="B685" s="31"/>
      <c r="C685" s="31"/>
      <c r="D685" s="31"/>
      <c r="E685" s="31">
        <v>0</v>
      </c>
      <c r="F685" s="31">
        <v>0</v>
      </c>
      <c r="G685" s="31">
        <v>0</v>
      </c>
      <c r="H685" s="31">
        <v>0</v>
      </c>
      <c r="I685" s="31">
        <v>0</v>
      </c>
      <c r="J685" s="31">
        <v>0</v>
      </c>
      <c r="K685" s="31">
        <v>0</v>
      </c>
      <c r="L685" s="31">
        <v>0</v>
      </c>
      <c r="M685" s="31">
        <v>0</v>
      </c>
      <c r="N685" s="31">
        <v>0</v>
      </c>
      <c r="O685" s="31">
        <v>0</v>
      </c>
      <c r="P685" s="31">
        <v>0</v>
      </c>
      <c r="Q685" s="45">
        <v>0</v>
      </c>
      <c r="R685" s="140"/>
      <c r="T685" s="81" t="s">
        <v>594</v>
      </c>
    </row>
    <row r="686" spans="1:20">
      <c r="A686" s="5" t="s">
        <v>468</v>
      </c>
      <c r="B686" s="31"/>
      <c r="C686" s="31"/>
      <c r="D686" s="31"/>
      <c r="E686" s="31">
        <v>1</v>
      </c>
      <c r="F686" s="31">
        <v>1</v>
      </c>
      <c r="G686" s="31">
        <v>1</v>
      </c>
      <c r="H686" s="31">
        <v>1</v>
      </c>
      <c r="I686" s="31">
        <v>1</v>
      </c>
      <c r="J686" s="31">
        <v>1</v>
      </c>
      <c r="K686" s="31">
        <v>1</v>
      </c>
      <c r="L686" s="31">
        <v>1</v>
      </c>
      <c r="M686" s="31">
        <v>1</v>
      </c>
      <c r="N686" s="31">
        <v>1</v>
      </c>
      <c r="O686" s="31">
        <v>1</v>
      </c>
      <c r="P686" s="31">
        <v>1</v>
      </c>
      <c r="Q686" s="45">
        <v>0.5</v>
      </c>
      <c r="R686" s="140"/>
      <c r="T686" s="81" t="s">
        <v>524</v>
      </c>
    </row>
    <row r="687" spans="1:20">
      <c r="A687" s="5" t="s">
        <v>580</v>
      </c>
      <c r="B687" s="31"/>
      <c r="C687" s="31"/>
      <c r="D687" s="31">
        <v>1</v>
      </c>
      <c r="E687" s="31">
        <v>1</v>
      </c>
      <c r="F687" s="31">
        <v>1</v>
      </c>
      <c r="G687" s="31">
        <v>1</v>
      </c>
      <c r="H687" s="31">
        <v>1</v>
      </c>
      <c r="I687" s="31">
        <v>1</v>
      </c>
      <c r="J687" s="31">
        <v>1</v>
      </c>
      <c r="K687" s="31">
        <v>1</v>
      </c>
      <c r="L687" s="31">
        <v>1</v>
      </c>
      <c r="M687" s="31">
        <v>1</v>
      </c>
      <c r="N687" s="31">
        <v>1</v>
      </c>
      <c r="O687" s="31">
        <v>1</v>
      </c>
      <c r="P687" s="31">
        <v>1</v>
      </c>
      <c r="Q687" s="45">
        <v>1</v>
      </c>
      <c r="R687" s="140"/>
      <c r="T687" s="81" t="s">
        <v>566</v>
      </c>
    </row>
    <row r="688" spans="1:20">
      <c r="A688" s="5" t="s">
        <v>549</v>
      </c>
      <c r="B688" s="31"/>
      <c r="C688" s="31"/>
      <c r="D688" s="31"/>
      <c r="E688" s="31">
        <v>1</v>
      </c>
      <c r="F688" s="31">
        <v>1</v>
      </c>
      <c r="G688" s="31">
        <v>1</v>
      </c>
      <c r="H688" s="31">
        <v>1</v>
      </c>
      <c r="I688" s="31">
        <v>1</v>
      </c>
      <c r="J688" s="31">
        <v>1</v>
      </c>
      <c r="K688" s="31">
        <v>1</v>
      </c>
      <c r="L688" s="31">
        <v>1</v>
      </c>
      <c r="M688" s="31">
        <v>1</v>
      </c>
      <c r="N688" s="31">
        <v>1</v>
      </c>
      <c r="O688" s="31">
        <v>1</v>
      </c>
      <c r="P688" s="31">
        <v>1</v>
      </c>
      <c r="Q688" s="45">
        <v>0.5</v>
      </c>
      <c r="R688" s="140"/>
      <c r="T688" s="81" t="s">
        <v>524</v>
      </c>
    </row>
    <row r="689" spans="1:18">
      <c r="A689" s="39" t="s">
        <v>80</v>
      </c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45"/>
      <c r="R689" s="140"/>
    </row>
    <row r="690" spans="1:18">
      <c r="A690" s="5" t="s">
        <v>461</v>
      </c>
      <c r="B690" s="31"/>
      <c r="C690" s="31"/>
      <c r="D690" s="31">
        <f>SUM(D683:D688)</f>
        <v>2</v>
      </c>
      <c r="E690" s="31">
        <f>SUM(E683:E688)</f>
        <v>5</v>
      </c>
      <c r="F690" s="31">
        <f t="shared" ref="F690:Q690" si="179">SUM(F683:F688)</f>
        <v>5</v>
      </c>
      <c r="G690" s="31">
        <f t="shared" si="179"/>
        <v>5</v>
      </c>
      <c r="H690" s="31">
        <f t="shared" si="179"/>
        <v>5</v>
      </c>
      <c r="I690" s="31">
        <f t="shared" si="179"/>
        <v>5</v>
      </c>
      <c r="J690" s="31">
        <f t="shared" si="179"/>
        <v>5</v>
      </c>
      <c r="K690" s="31">
        <f t="shared" si="179"/>
        <v>5</v>
      </c>
      <c r="L690" s="31">
        <f t="shared" si="179"/>
        <v>5</v>
      </c>
      <c r="M690" s="31">
        <f t="shared" si="179"/>
        <v>5</v>
      </c>
      <c r="N690" s="31">
        <f t="shared" si="179"/>
        <v>5</v>
      </c>
      <c r="O690" s="31">
        <f t="shared" si="179"/>
        <v>5</v>
      </c>
      <c r="P690" s="31">
        <f t="shared" si="179"/>
        <v>5</v>
      </c>
      <c r="Q690" s="45">
        <f t="shared" si="179"/>
        <v>4</v>
      </c>
      <c r="R690" s="140"/>
    </row>
    <row r="691" spans="1:18">
      <c r="A691" s="5" t="s">
        <v>462</v>
      </c>
      <c r="B691" s="31"/>
      <c r="C691" s="31"/>
      <c r="D691" s="31">
        <v>0</v>
      </c>
      <c r="E691" s="31">
        <v>0</v>
      </c>
      <c r="F691" s="31">
        <v>0</v>
      </c>
      <c r="G691" s="31">
        <v>0</v>
      </c>
      <c r="H691" s="31">
        <v>0</v>
      </c>
      <c r="I691" s="31">
        <v>0</v>
      </c>
      <c r="J691" s="31">
        <v>0</v>
      </c>
      <c r="K691" s="31">
        <v>0</v>
      </c>
      <c r="L691" s="31">
        <v>0</v>
      </c>
      <c r="M691" s="31">
        <v>0</v>
      </c>
      <c r="N691" s="31">
        <v>0</v>
      </c>
      <c r="O691" s="31">
        <v>0</v>
      </c>
      <c r="P691" s="31">
        <v>0</v>
      </c>
      <c r="Q691" s="45">
        <v>0</v>
      </c>
      <c r="R691" s="140"/>
    </row>
    <row r="692" spans="1:18">
      <c r="A692" s="6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45"/>
      <c r="R692" s="140"/>
    </row>
    <row r="693" spans="1:18">
      <c r="A693" s="39" t="s">
        <v>480</v>
      </c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45"/>
      <c r="R693" s="140"/>
    </row>
    <row r="694" spans="1:18">
      <c r="A694" s="5" t="s">
        <v>477</v>
      </c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45"/>
      <c r="R694" s="140"/>
    </row>
    <row r="695" spans="1:18">
      <c r="A695" s="5" t="s">
        <v>476</v>
      </c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45"/>
      <c r="R695" s="140"/>
    </row>
    <row r="696" spans="1:18">
      <c r="A696" s="5" t="s">
        <v>478</v>
      </c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45"/>
      <c r="R696" s="140"/>
    </row>
    <row r="697" spans="1:18">
      <c r="A697" s="39" t="s">
        <v>80</v>
      </c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45"/>
      <c r="R697" s="140"/>
    </row>
    <row r="698" spans="1:18">
      <c r="A698" s="5" t="s">
        <v>461</v>
      </c>
      <c r="B698" s="31"/>
      <c r="C698" s="31"/>
      <c r="D698" s="31"/>
      <c r="E698" s="31">
        <v>0</v>
      </c>
      <c r="F698" s="31">
        <v>0</v>
      </c>
      <c r="G698" s="31">
        <v>0</v>
      </c>
      <c r="H698" s="31">
        <v>0</v>
      </c>
      <c r="I698" s="31">
        <v>0</v>
      </c>
      <c r="J698" s="31">
        <v>0</v>
      </c>
      <c r="K698" s="31">
        <v>0</v>
      </c>
      <c r="L698" s="31">
        <v>0</v>
      </c>
      <c r="M698" s="31">
        <v>0</v>
      </c>
      <c r="N698" s="31">
        <v>0</v>
      </c>
      <c r="O698" s="31">
        <v>0</v>
      </c>
      <c r="P698" s="31">
        <v>0</v>
      </c>
      <c r="Q698" s="45">
        <v>0</v>
      </c>
      <c r="R698" s="140"/>
    </row>
    <row r="699" spans="1:18">
      <c r="A699" s="5" t="s">
        <v>462</v>
      </c>
      <c r="B699" s="31"/>
      <c r="C699" s="31"/>
      <c r="D699" s="31"/>
      <c r="E699" s="31">
        <f>SUM(E694:E697)</f>
        <v>0</v>
      </c>
      <c r="F699" s="31">
        <f t="shared" ref="F699:Q699" si="180">SUM(F694:F697)</f>
        <v>0</v>
      </c>
      <c r="G699" s="31">
        <f t="shared" si="180"/>
        <v>0</v>
      </c>
      <c r="H699" s="31">
        <f t="shared" si="180"/>
        <v>0</v>
      </c>
      <c r="I699" s="31">
        <f t="shared" si="180"/>
        <v>0</v>
      </c>
      <c r="J699" s="31">
        <f t="shared" si="180"/>
        <v>0</v>
      </c>
      <c r="K699" s="31">
        <f t="shared" si="180"/>
        <v>0</v>
      </c>
      <c r="L699" s="31">
        <f t="shared" si="180"/>
        <v>0</v>
      </c>
      <c r="M699" s="31">
        <f t="shared" si="180"/>
        <v>0</v>
      </c>
      <c r="N699" s="31">
        <f t="shared" si="180"/>
        <v>0</v>
      </c>
      <c r="O699" s="31">
        <f t="shared" si="180"/>
        <v>0</v>
      </c>
      <c r="P699" s="31">
        <f t="shared" si="180"/>
        <v>0</v>
      </c>
      <c r="Q699" s="45">
        <f t="shared" si="180"/>
        <v>0</v>
      </c>
      <c r="R699" s="140"/>
    </row>
    <row r="700" spans="1:18">
      <c r="A700" s="5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45"/>
      <c r="R700" s="140"/>
    </row>
    <row r="701" spans="1:18">
      <c r="A701" s="39" t="s">
        <v>460</v>
      </c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45"/>
      <c r="R701" s="140"/>
    </row>
    <row r="702" spans="1:18">
      <c r="A702" s="5" t="s">
        <v>461</v>
      </c>
      <c r="B702" s="91"/>
      <c r="C702" s="91"/>
      <c r="D702" s="91">
        <f>D666+D674+D679+D690+D698</f>
        <v>3</v>
      </c>
      <c r="E702" s="91">
        <f t="shared" ref="E702:Q702" si="181">E666+E674+E679+E690+E698</f>
        <v>11</v>
      </c>
      <c r="F702" s="91">
        <f t="shared" si="181"/>
        <v>11</v>
      </c>
      <c r="G702" s="91">
        <f t="shared" si="181"/>
        <v>11</v>
      </c>
      <c r="H702" s="91">
        <f t="shared" si="181"/>
        <v>11</v>
      </c>
      <c r="I702" s="91">
        <f t="shared" si="181"/>
        <v>11</v>
      </c>
      <c r="J702" s="91">
        <f t="shared" si="181"/>
        <v>11</v>
      </c>
      <c r="K702" s="91">
        <f t="shared" si="181"/>
        <v>11</v>
      </c>
      <c r="L702" s="91">
        <f t="shared" si="181"/>
        <v>11</v>
      </c>
      <c r="M702" s="91">
        <f t="shared" si="181"/>
        <v>11</v>
      </c>
      <c r="N702" s="91">
        <f t="shared" si="181"/>
        <v>11</v>
      </c>
      <c r="O702" s="91">
        <f t="shared" si="181"/>
        <v>11</v>
      </c>
      <c r="P702" s="91">
        <f t="shared" si="181"/>
        <v>11</v>
      </c>
      <c r="Q702" s="152">
        <f t="shared" si="181"/>
        <v>4</v>
      </c>
      <c r="R702" s="140"/>
    </row>
    <row r="703" spans="1:18">
      <c r="A703" s="5" t="s">
        <v>462</v>
      </c>
      <c r="B703" s="31"/>
      <c r="C703" s="31"/>
      <c r="D703" s="31">
        <f>D667+D675+D680+D691+D699</f>
        <v>0</v>
      </c>
      <c r="E703" s="31">
        <f t="shared" ref="E703:Q703" si="182">E667+E675+E680+E691+E699</f>
        <v>0</v>
      </c>
      <c r="F703" s="31">
        <f t="shared" si="182"/>
        <v>0</v>
      </c>
      <c r="G703" s="31">
        <f t="shared" si="182"/>
        <v>0</v>
      </c>
      <c r="H703" s="31">
        <f t="shared" si="182"/>
        <v>0</v>
      </c>
      <c r="I703" s="31">
        <f t="shared" si="182"/>
        <v>0</v>
      </c>
      <c r="J703" s="31">
        <f t="shared" si="182"/>
        <v>0</v>
      </c>
      <c r="K703" s="31">
        <f t="shared" si="182"/>
        <v>0</v>
      </c>
      <c r="L703" s="31">
        <f t="shared" si="182"/>
        <v>0</v>
      </c>
      <c r="M703" s="31">
        <f t="shared" si="182"/>
        <v>0</v>
      </c>
      <c r="N703" s="31">
        <f t="shared" si="182"/>
        <v>0</v>
      </c>
      <c r="O703" s="31">
        <f t="shared" si="182"/>
        <v>0</v>
      </c>
      <c r="P703" s="31">
        <f t="shared" si="182"/>
        <v>0</v>
      </c>
      <c r="Q703" s="45">
        <f t="shared" si="182"/>
        <v>0</v>
      </c>
      <c r="R703" s="140"/>
    </row>
    <row r="704" spans="1:18">
      <c r="A704" s="8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34"/>
      <c r="R704" s="35"/>
    </row>
    <row r="706" spans="1:19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31"/>
      <c r="M706" s="31"/>
      <c r="N706" s="31"/>
      <c r="O706" s="31"/>
      <c r="P706" s="31"/>
      <c r="Q706" s="31"/>
    </row>
    <row r="707" spans="1:19">
      <c r="A707" s="13" t="s">
        <v>0</v>
      </c>
      <c r="B707" s="77"/>
      <c r="C707" s="77"/>
      <c r="D707" s="77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5"/>
    </row>
    <row r="708" spans="1:19">
      <c r="A708" s="16" t="str">
        <f>Title!$F$10</f>
        <v>ARTHUR RIVER MAGNESITE PROJECT</v>
      </c>
      <c r="B708" s="78"/>
      <c r="C708" s="78"/>
      <c r="D708" s="78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</row>
    <row r="709" spans="1:19">
      <c r="A709" s="16" t="str">
        <f>Title!$F$12</f>
        <v>ORDER OF MAGNITUDE COST STUDY: CALCINE PRODUCTION ONLY</v>
      </c>
      <c r="B709" s="78"/>
      <c r="C709" s="78"/>
      <c r="D709" s="78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</row>
    <row r="710" spans="1:19">
      <c r="A710" s="19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 t="str">
        <f>Title!$F$19</f>
        <v>3 October 2011</v>
      </c>
      <c r="S710" s="18"/>
    </row>
    <row r="711" spans="1:19">
      <c r="A711" s="20" t="s">
        <v>618</v>
      </c>
      <c r="B711" s="79"/>
      <c r="C711" s="79"/>
      <c r="D711" s="79"/>
      <c r="E711" s="79"/>
      <c r="F711" s="79"/>
      <c r="G711" s="79"/>
      <c r="H711" s="79"/>
      <c r="I711" s="79"/>
      <c r="J711" s="21"/>
      <c r="K711" s="21"/>
      <c r="L711" s="21"/>
      <c r="M711" s="21"/>
      <c r="N711" s="21"/>
      <c r="O711" s="21"/>
      <c r="P711" s="21"/>
      <c r="Q711" s="21"/>
      <c r="R711" s="21"/>
      <c r="S711" s="22"/>
    </row>
    <row r="712" spans="1:19">
      <c r="A712" s="46"/>
      <c r="B712" s="41" t="s">
        <v>26</v>
      </c>
      <c r="C712" s="41" t="s">
        <v>26</v>
      </c>
      <c r="D712" s="41" t="s">
        <v>26</v>
      </c>
      <c r="E712" s="41" t="s">
        <v>26</v>
      </c>
      <c r="F712" s="41" t="s">
        <v>26</v>
      </c>
      <c r="G712" s="41" t="s">
        <v>26</v>
      </c>
      <c r="H712" s="41" t="s">
        <v>26</v>
      </c>
      <c r="I712" s="41" t="s">
        <v>26</v>
      </c>
      <c r="J712" s="41" t="s">
        <v>26</v>
      </c>
      <c r="K712" s="41" t="s">
        <v>26</v>
      </c>
      <c r="L712" s="41" t="s">
        <v>26</v>
      </c>
      <c r="M712" s="41" t="s">
        <v>26</v>
      </c>
      <c r="N712" s="41" t="s">
        <v>26</v>
      </c>
      <c r="O712" s="41" t="s">
        <v>26</v>
      </c>
      <c r="P712" s="41" t="s">
        <v>26</v>
      </c>
      <c r="Q712" s="41" t="s">
        <v>26</v>
      </c>
      <c r="R712" s="41"/>
      <c r="S712" s="42" t="s">
        <v>5</v>
      </c>
    </row>
    <row r="713" spans="1:19">
      <c r="A713" s="8"/>
      <c r="B713" s="43">
        <v>-3</v>
      </c>
      <c r="C713" s="43">
        <v>-2</v>
      </c>
      <c r="D713" s="43">
        <v>-1</v>
      </c>
      <c r="E713" s="43">
        <v>1</v>
      </c>
      <c r="F713" s="43">
        <v>2</v>
      </c>
      <c r="G713" s="43">
        <v>3</v>
      </c>
      <c r="H713" s="43">
        <v>4</v>
      </c>
      <c r="I713" s="43">
        <v>5</v>
      </c>
      <c r="J713" s="43">
        <v>6</v>
      </c>
      <c r="K713" s="43">
        <v>7</v>
      </c>
      <c r="L713" s="43">
        <v>8</v>
      </c>
      <c r="M713" s="43">
        <v>9</v>
      </c>
      <c r="N713" s="43">
        <v>10</v>
      </c>
      <c r="O713" s="43">
        <v>11</v>
      </c>
      <c r="P713" s="43">
        <v>12</v>
      </c>
      <c r="Q713" s="43">
        <v>13</v>
      </c>
      <c r="R713" s="43"/>
      <c r="S713" s="47"/>
    </row>
    <row r="714" spans="1:19">
      <c r="A714" s="102"/>
      <c r="B714" s="90"/>
      <c r="C714" s="90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87"/>
      <c r="S714" s="11"/>
    </row>
    <row r="715" spans="1:19">
      <c r="A715" s="185" t="s">
        <v>599</v>
      </c>
      <c r="B715" s="90"/>
      <c r="C715" s="90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11"/>
    </row>
    <row r="716" spans="1:19">
      <c r="A716" s="102" t="s">
        <v>622</v>
      </c>
      <c r="B716" s="90"/>
      <c r="C716" s="90"/>
      <c r="D716" s="31">
        <f>D530/'Phys Input'!$B$61</f>
        <v>0</v>
      </c>
      <c r="E716" s="31">
        <f>E530/'Phys Input'!$B$61</f>
        <v>67.093513078617065</v>
      </c>
      <c r="F716" s="31">
        <f>F530/'Phys Input'!$B$61</f>
        <v>92.511263350270355</v>
      </c>
      <c r="G716" s="31">
        <f>G530/'Phys Input'!$B$61</f>
        <v>82.493750721697666</v>
      </c>
      <c r="H716" s="31">
        <f>H530/'Phys Input'!$B$61</f>
        <v>80.761630441626281</v>
      </c>
      <c r="I716" s="31">
        <f>I530/'Phys Input'!$B$61</f>
        <v>81.232986975209087</v>
      </c>
      <c r="J716" s="31">
        <f>J530/'Phys Input'!$B$61</f>
        <v>81.579881670161598</v>
      </c>
      <c r="K716" s="31">
        <f>K530/'Phys Input'!$B$61</f>
        <v>82.92271402206795</v>
      </c>
      <c r="L716" s="31">
        <f>L530/'Phys Input'!$B$61</f>
        <v>80.985257363884713</v>
      </c>
      <c r="M716" s="31">
        <f>M530/'Phys Input'!$B$61</f>
        <v>81.858314659431102</v>
      </c>
      <c r="N716" s="31">
        <f>N530/'Phys Input'!$B$61</f>
        <v>83.926093342157301</v>
      </c>
      <c r="O716" s="31">
        <f>O530/'Phys Input'!$B$61</f>
        <v>86.126847569804312</v>
      </c>
      <c r="P716" s="31">
        <f>P530/'Phys Input'!$B$61</f>
        <v>87.113823105609754</v>
      </c>
      <c r="Q716" s="31">
        <f>Q530/'Phys Input'!$B$61</f>
        <v>130.32537531236611</v>
      </c>
      <c r="R716" s="31"/>
      <c r="S716" s="11">
        <f t="shared" ref="S716:S721" si="183">SUM(B716:R716)</f>
        <v>1118.9314516129032</v>
      </c>
    </row>
    <row r="717" spans="1:19">
      <c r="A717" s="102" t="s">
        <v>620</v>
      </c>
      <c r="B717" s="90"/>
      <c r="C717" s="90"/>
      <c r="D717" s="31">
        <f>D716*'Phys Input'!$B$55</f>
        <v>0</v>
      </c>
      <c r="E717" s="31">
        <f>E716*'Phys Input'!$B$55</f>
        <v>1006.4026961792559</v>
      </c>
      <c r="F717" s="31">
        <f>F716*'Phys Input'!$B$55</f>
        <v>1387.6689502540553</v>
      </c>
      <c r="G717" s="31">
        <f>G716*'Phys Input'!$B$55</f>
        <v>1237.4062608254649</v>
      </c>
      <c r="H717" s="31">
        <f>H716*'Phys Input'!$B$55</f>
        <v>1211.4244566243942</v>
      </c>
      <c r="I717" s="31">
        <f>I716*'Phys Input'!$B$55</f>
        <v>1218.4948046281363</v>
      </c>
      <c r="J717" s="31">
        <f>J716*'Phys Input'!$B$55</f>
        <v>1223.698225052424</v>
      </c>
      <c r="K717" s="31">
        <f>K716*'Phys Input'!$B$55</f>
        <v>1243.8407103310192</v>
      </c>
      <c r="L717" s="31">
        <f>L716*'Phys Input'!$B$55</f>
        <v>1214.7788604582706</v>
      </c>
      <c r="M717" s="31">
        <f>M716*'Phys Input'!$B$55</f>
        <v>1227.8747198914666</v>
      </c>
      <c r="N717" s="31">
        <f>N716*'Phys Input'!$B$55</f>
        <v>1258.8914001323594</v>
      </c>
      <c r="O717" s="31">
        <f>O716*'Phys Input'!$B$55</f>
        <v>1291.9027135470646</v>
      </c>
      <c r="P717" s="31">
        <f>P716*'Phys Input'!$B$55</f>
        <v>1306.7073465841463</v>
      </c>
      <c r="Q717" s="31">
        <f>Q716*'Phys Input'!$B$55</f>
        <v>1954.8806296854916</v>
      </c>
      <c r="R717" s="26"/>
      <c r="S717" s="11">
        <f t="shared" si="183"/>
        <v>16783.971774193549</v>
      </c>
    </row>
    <row r="718" spans="1:19">
      <c r="A718" s="102" t="s">
        <v>632</v>
      </c>
      <c r="B718" s="90"/>
      <c r="C718" s="90"/>
      <c r="D718" s="31">
        <f>ROUNDUP(D717/('Phys Input'!$B$64*'Phys Input'!$B$65),0)*'Phys Input'!$B$65</f>
        <v>0</v>
      </c>
      <c r="E718" s="31">
        <f>ROUNDUP(E717/('Phys Input'!$B$64*'Phys Input'!$B$65),0)*'Phys Input'!$B$65</f>
        <v>8</v>
      </c>
      <c r="F718" s="31">
        <f>ROUNDUP(F717/('Phys Input'!$B$64*'Phys Input'!$B$65),0)*'Phys Input'!$B$65</f>
        <v>8</v>
      </c>
      <c r="G718" s="31">
        <f>ROUNDUP(G717/('Phys Input'!$B$64*'Phys Input'!$B$65),0)*'Phys Input'!$B$65</f>
        <v>8</v>
      </c>
      <c r="H718" s="31">
        <f>ROUNDUP(H717/('Phys Input'!$B$64*'Phys Input'!$B$65),0)*'Phys Input'!$B$65</f>
        <v>8</v>
      </c>
      <c r="I718" s="31">
        <f>ROUNDUP(I717/('Phys Input'!$B$64*'Phys Input'!$B$65),0)*'Phys Input'!$B$65</f>
        <v>8</v>
      </c>
      <c r="J718" s="31">
        <f>ROUNDUP(J717/('Phys Input'!$B$64*'Phys Input'!$B$65),0)*'Phys Input'!$B$65</f>
        <v>8</v>
      </c>
      <c r="K718" s="31">
        <f>ROUNDUP(K717/('Phys Input'!$B$64*'Phys Input'!$B$65),0)*'Phys Input'!$B$65</f>
        <v>8</v>
      </c>
      <c r="L718" s="31">
        <f>ROUNDUP(L717/('Phys Input'!$B$64*'Phys Input'!$B$65),0)*'Phys Input'!$B$65</f>
        <v>8</v>
      </c>
      <c r="M718" s="31">
        <f>ROUNDUP(M717/('Phys Input'!$B$64*'Phys Input'!$B$65),0)*'Phys Input'!$B$65</f>
        <v>8</v>
      </c>
      <c r="N718" s="31">
        <f>ROUNDUP(N717/('Phys Input'!$B$64*'Phys Input'!$B$65),0)*'Phys Input'!$B$65</f>
        <v>8</v>
      </c>
      <c r="O718" s="31">
        <f>ROUNDUP(O717/('Phys Input'!$B$64*'Phys Input'!$B$65),0)*'Phys Input'!$B$65</f>
        <v>8</v>
      </c>
      <c r="P718" s="31">
        <f>ROUNDUP(P717/('Phys Input'!$B$64*'Phys Input'!$B$65),0)*'Phys Input'!$B$65</f>
        <v>8</v>
      </c>
      <c r="Q718" s="31">
        <f>ROUNDUP(Q717/('Phys Input'!$B$64*'Phys Input'!$B$65),0)*'Phys Input'!$B$65</f>
        <v>12</v>
      </c>
      <c r="R718" s="26"/>
      <c r="S718" s="11">
        <f t="shared" si="183"/>
        <v>108</v>
      </c>
    </row>
    <row r="719" spans="1:19">
      <c r="A719" s="102" t="s">
        <v>619</v>
      </c>
      <c r="B719" s="90"/>
      <c r="C719" s="90"/>
      <c r="D719" s="31">
        <f>D530/'Phys Input'!$B$63</f>
        <v>0</v>
      </c>
      <c r="E719" s="31">
        <f>E530/'Phys Input'!$B$63</f>
        <v>268.37405231446826</v>
      </c>
      <c r="F719" s="31">
        <f>F530/'Phys Input'!$B$63</f>
        <v>370.04505340108142</v>
      </c>
      <c r="G719" s="31">
        <f>G530/'Phys Input'!$B$63</f>
        <v>329.97500288679066</v>
      </c>
      <c r="H719" s="31">
        <f>H530/'Phys Input'!$B$63</f>
        <v>323.04652176650512</v>
      </c>
      <c r="I719" s="31">
        <f>I530/'Phys Input'!$B$63</f>
        <v>324.93194790083635</v>
      </c>
      <c r="J719" s="31">
        <f>J530/'Phys Input'!$B$63</f>
        <v>326.31952668064639</v>
      </c>
      <c r="K719" s="31">
        <f>K530/'Phys Input'!$B$63</f>
        <v>331.6908560882718</v>
      </c>
      <c r="L719" s="31">
        <f>L530/'Phys Input'!$B$63</f>
        <v>323.94102945553885</v>
      </c>
      <c r="M719" s="31">
        <f>M530/'Phys Input'!$B$63</f>
        <v>327.43325863772441</v>
      </c>
      <c r="N719" s="31">
        <f>N530/'Phys Input'!$B$63</f>
        <v>335.70437336862921</v>
      </c>
      <c r="O719" s="31">
        <f>O530/'Phys Input'!$B$63</f>
        <v>344.50739027921725</v>
      </c>
      <c r="P719" s="31">
        <f>P530/'Phys Input'!$B$63</f>
        <v>348.45529242243902</v>
      </c>
      <c r="Q719" s="31">
        <f>Q530/'Phys Input'!$B$63</f>
        <v>521.30150124946442</v>
      </c>
      <c r="R719" s="26"/>
      <c r="S719" s="11">
        <f t="shared" si="183"/>
        <v>4475.7258064516127</v>
      </c>
    </row>
    <row r="720" spans="1:19">
      <c r="A720" s="102" t="s">
        <v>628</v>
      </c>
      <c r="B720" s="90"/>
      <c r="C720" s="90"/>
      <c r="D720" s="31">
        <f>IF(D716=0,0,'Phys Input'!$B$65*'Phys Input'!$B$66)+'Phys Input'!$B$67*12*'Phys Input'!$B$8</f>
        <v>48</v>
      </c>
      <c r="E720" s="31">
        <f>IF(E716=0,0,'Phys Input'!$B$65*'Phys Input'!$B$66)+'Phys Input'!$B$67*12*'Phys Input'!$B$8</f>
        <v>76</v>
      </c>
      <c r="F720" s="31">
        <f>IF(F716=0,0,'Phys Input'!$B$65*'Phys Input'!$B$66)+'Phys Input'!$B$67*12*'Phys Input'!$B$8</f>
        <v>76</v>
      </c>
      <c r="G720" s="31">
        <f>IF(G716=0,0,'Phys Input'!$B$65*'Phys Input'!$B$66)+'Phys Input'!$B$67*12*'Phys Input'!$B$8</f>
        <v>76</v>
      </c>
      <c r="H720" s="31">
        <f>IF(H716=0,0,'Phys Input'!$B$65*'Phys Input'!$B$66)+'Phys Input'!$B$67*12*'Phys Input'!$B$8</f>
        <v>76</v>
      </c>
      <c r="I720" s="31">
        <f>IF(I716=0,0,'Phys Input'!$B$65*'Phys Input'!$B$66)+'Phys Input'!$B$67*12*'Phys Input'!$B$8</f>
        <v>76</v>
      </c>
      <c r="J720" s="31">
        <f>IF(J716=0,0,'Phys Input'!$B$65*'Phys Input'!$B$66)+'Phys Input'!$B$67*12*'Phys Input'!$B$8</f>
        <v>76</v>
      </c>
      <c r="K720" s="31">
        <f>IF(K716=0,0,'Phys Input'!$B$65*'Phys Input'!$B$66)+'Phys Input'!$B$67*12*'Phys Input'!$B$8</f>
        <v>76</v>
      </c>
      <c r="L720" s="31">
        <f>IF(L716=0,0,'Phys Input'!$B$65*'Phys Input'!$B$66)+'Phys Input'!$B$67*12*'Phys Input'!$B$8</f>
        <v>76</v>
      </c>
      <c r="M720" s="31">
        <f>IF(M716=0,0,'Phys Input'!$B$65*'Phys Input'!$B$66)+'Phys Input'!$B$67*12*'Phys Input'!$B$8</f>
        <v>76</v>
      </c>
      <c r="N720" s="31">
        <f>IF(N716=0,0,'Phys Input'!$B$65*'Phys Input'!$B$66)+'Phys Input'!$B$67*12*'Phys Input'!$B$8</f>
        <v>76</v>
      </c>
      <c r="O720" s="31">
        <f>IF(O716=0,0,'Phys Input'!$B$65*'Phys Input'!$B$66)+'Phys Input'!$B$67*12*'Phys Input'!$B$8</f>
        <v>76</v>
      </c>
      <c r="P720" s="31">
        <f>IF(P716=0,0,'Phys Input'!$B$65*'Phys Input'!$B$66)+'Phys Input'!$B$67*12*'Phys Input'!$B$8</f>
        <v>76</v>
      </c>
      <c r="Q720" s="31">
        <f>IF(Q716=0,0,'Phys Input'!$B$65*'Phys Input'!$B$66)+'Phys Input'!$B$67*12*'Phys Input'!$B$8</f>
        <v>76</v>
      </c>
      <c r="R720" s="26"/>
      <c r="S720" s="11">
        <f t="shared" si="183"/>
        <v>1036</v>
      </c>
    </row>
    <row r="721" spans="1:19">
      <c r="A721" s="102" t="s">
        <v>629</v>
      </c>
      <c r="B721" s="90"/>
      <c r="C721" s="90"/>
      <c r="D721" s="31">
        <f>IF(D531=0,0,'Phys Input'!$B$68*12*'Phys Input'!$B$8)</f>
        <v>240</v>
      </c>
      <c r="E721" s="31">
        <f>IF(E531=0,0,'Phys Input'!$B$68*12*'Phys Input'!$B$8)</f>
        <v>240</v>
      </c>
      <c r="F721" s="31">
        <f>IF(F531=0,0,'Phys Input'!$B$68*12*'Phys Input'!$B$8)</f>
        <v>240</v>
      </c>
      <c r="G721" s="31">
        <f>IF(G531=0,0,'Phys Input'!$B$68*12*'Phys Input'!$B$8)</f>
        <v>240</v>
      </c>
      <c r="H721" s="31">
        <f>IF(H531=0,0,'Phys Input'!$B$68*12*'Phys Input'!$B$8)</f>
        <v>240</v>
      </c>
      <c r="I721" s="31">
        <f>IF(I531=0,0,'Phys Input'!$B$68*12*'Phys Input'!$B$8)</f>
        <v>240</v>
      </c>
      <c r="J721" s="31">
        <f>IF(J531=0,0,'Phys Input'!$B$68*12*'Phys Input'!$B$8)</f>
        <v>240</v>
      </c>
      <c r="K721" s="31">
        <f>IF(K531=0,0,'Phys Input'!$B$68*12*'Phys Input'!$B$8)</f>
        <v>240</v>
      </c>
      <c r="L721" s="31">
        <f>IF(L531=0,0,'Phys Input'!$B$68*12*'Phys Input'!$B$8)</f>
        <v>240</v>
      </c>
      <c r="M721" s="31">
        <f>IF(M531=0,0,'Phys Input'!$B$68*12*'Phys Input'!$B$8)</f>
        <v>240</v>
      </c>
      <c r="N721" s="31">
        <f>IF(N531=0,0,'Phys Input'!$B$68*12*'Phys Input'!$B$8)</f>
        <v>240</v>
      </c>
      <c r="O721" s="31">
        <f>IF(O531=0,0,'Phys Input'!$B$68*12*'Phys Input'!$B$8)</f>
        <v>240</v>
      </c>
      <c r="P721" s="31">
        <f>IF(P531=0,0,'Phys Input'!$B$68*12*'Phys Input'!$B$8)</f>
        <v>240</v>
      </c>
      <c r="Q721" s="31">
        <f>IF(Q531=0,0,'Phys Input'!$B$68*12*'Phys Input'!$B$8)</f>
        <v>240</v>
      </c>
      <c r="R721" s="26"/>
      <c r="S721" s="11">
        <f t="shared" si="183"/>
        <v>3360</v>
      </c>
    </row>
    <row r="722" spans="1:19">
      <c r="A722" s="102"/>
      <c r="B722" s="90"/>
      <c r="C722" s="90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26"/>
      <c r="S722" s="11"/>
    </row>
    <row r="723" spans="1:19">
      <c r="A723" s="185" t="s">
        <v>654</v>
      </c>
      <c r="B723" s="90"/>
      <c r="C723" s="90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26"/>
      <c r="S723" s="11"/>
    </row>
    <row r="724" spans="1:19">
      <c r="A724" s="102" t="s">
        <v>659</v>
      </c>
      <c r="B724" s="90"/>
      <c r="C724" s="90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26"/>
      <c r="S724" s="11"/>
    </row>
    <row r="725" spans="1:19">
      <c r="A725" s="102" t="s">
        <v>663</v>
      </c>
      <c r="B725" s="90"/>
      <c r="C725" s="90"/>
      <c r="D725" s="31"/>
      <c r="E725" s="31">
        <f>'Phys Input'!$B$95*MIN(E591/'Phys Input'!$B$19,1)</f>
        <v>973.71313812500011</v>
      </c>
      <c r="F725" s="31">
        <f>'Phys Input'!$B$95*MIN(F591/'Phys Input'!$B$19,1)</f>
        <v>1299.9999999999998</v>
      </c>
      <c r="G725" s="31">
        <f>'Phys Input'!$B$95*MIN(G591/'Phys Input'!$B$19,1)</f>
        <v>1299.9999999999998</v>
      </c>
      <c r="H725" s="31">
        <f>'Phys Input'!$B$95*MIN(H591/'Phys Input'!$B$19,1)</f>
        <v>1300</v>
      </c>
      <c r="I725" s="31">
        <f>'Phys Input'!$B$95*MIN(I591/'Phys Input'!$B$19,1)</f>
        <v>1300</v>
      </c>
      <c r="J725" s="31">
        <f>'Phys Input'!$B$95*MIN(J591/'Phys Input'!$B$19,1)</f>
        <v>1300</v>
      </c>
      <c r="K725" s="31">
        <f>'Phys Input'!$B$95*MIN(K591/'Phys Input'!$B$19,1)</f>
        <v>1299.9999999999998</v>
      </c>
      <c r="L725" s="31">
        <f>'Phys Input'!$B$95*MIN(L591/'Phys Input'!$B$19,1)</f>
        <v>1299.9999999999998</v>
      </c>
      <c r="M725" s="31">
        <f>'Phys Input'!$B$95*MIN(M591/'Phys Input'!$B$19,1)</f>
        <v>1300</v>
      </c>
      <c r="N725" s="31">
        <f>'Phys Input'!$B$95*MIN(N591/'Phys Input'!$B$19,1)</f>
        <v>1300</v>
      </c>
      <c r="O725" s="31">
        <f>'Phys Input'!$B$95*MIN(O591/'Phys Input'!$B$19,1)</f>
        <v>1300</v>
      </c>
      <c r="P725" s="31">
        <f>'Phys Input'!$B$95*MIN(P591/'Phys Input'!$B$19,1)</f>
        <v>1300</v>
      </c>
      <c r="Q725" s="31">
        <f>'Phys Input'!$B$95*MIN(Q591/'Phys Input'!$B$19,1)</f>
        <v>1300</v>
      </c>
      <c r="R725" s="26"/>
      <c r="S725" s="11">
        <f t="shared" ref="S725:S728" si="184">SUM(B725:R725)</f>
        <v>16573.713138125</v>
      </c>
    </row>
    <row r="726" spans="1:19">
      <c r="A726" s="102" t="s">
        <v>664</v>
      </c>
      <c r="B726" s="90"/>
      <c r="C726" s="90"/>
      <c r="D726" s="31"/>
      <c r="E726" s="31">
        <f>E727-E725</f>
        <v>2771.3373931250003</v>
      </c>
      <c r="F726" s="31">
        <f t="shared" ref="F726:Q726" si="185">F727-F725</f>
        <v>3699.9999999999991</v>
      </c>
      <c r="G726" s="31">
        <f t="shared" si="185"/>
        <v>3699.9999999999991</v>
      </c>
      <c r="H726" s="31">
        <f t="shared" si="185"/>
        <v>3700</v>
      </c>
      <c r="I726" s="31">
        <f t="shared" si="185"/>
        <v>3700</v>
      </c>
      <c r="J726" s="31">
        <f t="shared" si="185"/>
        <v>3700</v>
      </c>
      <c r="K726" s="31">
        <f t="shared" si="185"/>
        <v>3699.9999999999991</v>
      </c>
      <c r="L726" s="31">
        <f t="shared" si="185"/>
        <v>3699.9999999999991</v>
      </c>
      <c r="M726" s="31">
        <f t="shared" si="185"/>
        <v>3700</v>
      </c>
      <c r="N726" s="31">
        <f t="shared" si="185"/>
        <v>3700</v>
      </c>
      <c r="O726" s="31">
        <f t="shared" si="185"/>
        <v>3700</v>
      </c>
      <c r="P726" s="31">
        <f t="shared" si="185"/>
        <v>3700</v>
      </c>
      <c r="Q726" s="31">
        <f t="shared" si="185"/>
        <v>7055.0531958599877</v>
      </c>
      <c r="R726" s="26"/>
      <c r="S726" s="11">
        <f t="shared" si="184"/>
        <v>50526.390588984985</v>
      </c>
    </row>
    <row r="727" spans="1:19">
      <c r="A727" s="102" t="s">
        <v>138</v>
      </c>
      <c r="B727" s="90"/>
      <c r="C727" s="90"/>
      <c r="D727" s="31"/>
      <c r="E727" s="31">
        <f>E591/'Phys Input'!$B$93</f>
        <v>3745.0505312500004</v>
      </c>
      <c r="F727" s="31">
        <f>F591/'Phys Input'!$B$93</f>
        <v>4999.9999999999991</v>
      </c>
      <c r="G727" s="31">
        <f>G591/'Phys Input'!$B$93</f>
        <v>4999.9999999999991</v>
      </c>
      <c r="H727" s="31">
        <f>H591/'Phys Input'!$B$93</f>
        <v>5000</v>
      </c>
      <c r="I727" s="31">
        <f>I591/'Phys Input'!$B$93</f>
        <v>5000</v>
      </c>
      <c r="J727" s="31">
        <f>J591/'Phys Input'!$B$93</f>
        <v>5000</v>
      </c>
      <c r="K727" s="31">
        <f>K591/'Phys Input'!$B$93</f>
        <v>4999.9999999999991</v>
      </c>
      <c r="L727" s="31">
        <f>L591/'Phys Input'!$B$93</f>
        <v>4999.9999999999991</v>
      </c>
      <c r="M727" s="31">
        <f>M591/'Phys Input'!$B$93</f>
        <v>5000</v>
      </c>
      <c r="N727" s="31">
        <f>N591/'Phys Input'!$B$93</f>
        <v>5000</v>
      </c>
      <c r="O727" s="31">
        <f>O591/'Phys Input'!$B$93</f>
        <v>5000</v>
      </c>
      <c r="P727" s="31">
        <f>P591/'Phys Input'!$B$93</f>
        <v>5000</v>
      </c>
      <c r="Q727" s="31">
        <f>Q591/'Phys Input'!$B$93</f>
        <v>8355.0531958599877</v>
      </c>
      <c r="R727" s="26"/>
      <c r="S727" s="11">
        <f t="shared" si="184"/>
        <v>67100.103727109978</v>
      </c>
    </row>
    <row r="728" spans="1:19">
      <c r="A728" s="102" t="s">
        <v>660</v>
      </c>
      <c r="B728" s="90"/>
      <c r="C728" s="90"/>
      <c r="D728" s="31"/>
      <c r="E728" s="31">
        <f>E599/'Phys Input'!$B$93</f>
        <v>3520.0505312500004</v>
      </c>
      <c r="F728" s="31">
        <f>F599/'Phys Input'!$B$93</f>
        <v>4999.9999999999991</v>
      </c>
      <c r="G728" s="31">
        <f>G599/'Phys Input'!$B$93</f>
        <v>4999.9999999999991</v>
      </c>
      <c r="H728" s="31">
        <f>H599/'Phys Input'!$B$93</f>
        <v>5000</v>
      </c>
      <c r="I728" s="31">
        <f>I599/'Phys Input'!$B$93</f>
        <v>5000</v>
      </c>
      <c r="J728" s="31">
        <f>J599/'Phys Input'!$B$93</f>
        <v>5000</v>
      </c>
      <c r="K728" s="31">
        <f>K599/'Phys Input'!$B$93</f>
        <v>4999.9999999999991</v>
      </c>
      <c r="L728" s="31">
        <f>L599/'Phys Input'!$B$93</f>
        <v>4999.9999999999991</v>
      </c>
      <c r="M728" s="31">
        <f>M599/'Phys Input'!$B$93</f>
        <v>5000</v>
      </c>
      <c r="N728" s="31">
        <f>N599/'Phys Input'!$B$93</f>
        <v>5000</v>
      </c>
      <c r="O728" s="31">
        <f>O599/'Phys Input'!$B$93</f>
        <v>5000</v>
      </c>
      <c r="P728" s="31">
        <f>P599/'Phys Input'!$B$93</f>
        <v>5000</v>
      </c>
      <c r="Q728" s="31">
        <f>Q599/'Phys Input'!$B$93</f>
        <v>8580.0531958599877</v>
      </c>
      <c r="R728" s="26"/>
      <c r="S728" s="11">
        <f t="shared" si="184"/>
        <v>67100.103727109978</v>
      </c>
    </row>
    <row r="729" spans="1:19">
      <c r="A729" s="102"/>
      <c r="B729" s="90"/>
      <c r="C729" s="90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26"/>
      <c r="S729" s="11"/>
    </row>
    <row r="730" spans="1:19">
      <c r="A730" s="102"/>
      <c r="B730" s="90"/>
      <c r="C730" s="90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26"/>
    </row>
    <row r="731" spans="1:19">
      <c r="A731" s="102"/>
      <c r="B731" s="90"/>
      <c r="C731" s="90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26"/>
    </row>
    <row r="732" spans="1:19">
      <c r="A732" s="185" t="s">
        <v>567</v>
      </c>
      <c r="B732" s="208"/>
      <c r="C732" s="208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26"/>
    </row>
    <row r="733" spans="1:19">
      <c r="A733" s="209" t="s">
        <v>28</v>
      </c>
      <c r="B733" s="210"/>
      <c r="C733" s="210"/>
      <c r="D733" s="31"/>
      <c r="E733" s="31"/>
      <c r="F733" s="31"/>
      <c r="G733" s="210"/>
      <c r="H733" s="210"/>
      <c r="I733" s="210"/>
      <c r="J733" s="71"/>
      <c r="K733" s="71"/>
      <c r="L733" s="71"/>
      <c r="M733" s="71"/>
      <c r="N733" s="71"/>
      <c r="O733" s="71"/>
      <c r="P733" s="71"/>
      <c r="Q733" s="71"/>
      <c r="R733" s="26"/>
    </row>
    <row r="734" spans="1:19">
      <c r="A734" s="5" t="s">
        <v>568</v>
      </c>
      <c r="B734" s="12"/>
      <c r="C734" s="12"/>
      <c r="D734" s="210"/>
      <c r="E734" s="210"/>
      <c r="F734" s="210"/>
      <c r="G734" s="71"/>
      <c r="H734" s="71">
        <v>1</v>
      </c>
      <c r="I734" s="210"/>
      <c r="J734" s="71"/>
      <c r="K734" s="71"/>
      <c r="L734" s="71"/>
      <c r="M734" s="71"/>
      <c r="N734" s="71"/>
      <c r="O734" s="71"/>
      <c r="P734" s="71"/>
      <c r="Q734" s="71"/>
      <c r="R734" s="26"/>
    </row>
    <row r="735" spans="1:19">
      <c r="A735" s="5" t="s">
        <v>565</v>
      </c>
      <c r="B735" s="12"/>
      <c r="C735" s="12"/>
      <c r="D735" s="12"/>
      <c r="E735" s="12"/>
      <c r="F735" s="12"/>
      <c r="G735" s="71"/>
      <c r="H735" s="71">
        <v>1</v>
      </c>
      <c r="I735" s="71"/>
      <c r="J735" s="71"/>
      <c r="K735" s="71"/>
      <c r="L735" s="71"/>
      <c r="M735" s="71"/>
      <c r="N735" s="71"/>
      <c r="O735" s="71"/>
      <c r="P735" s="71"/>
      <c r="Q735" s="71"/>
      <c r="R735" s="26"/>
    </row>
    <row r="736" spans="1:19">
      <c r="A736" s="5" t="s">
        <v>569</v>
      </c>
      <c r="B736" s="12"/>
      <c r="C736" s="12"/>
      <c r="D736" s="12"/>
      <c r="E736" s="12">
        <v>2</v>
      </c>
      <c r="F736" s="12"/>
      <c r="G736" s="71"/>
      <c r="H736" s="71">
        <v>2</v>
      </c>
      <c r="I736" s="71"/>
      <c r="J736" s="71"/>
      <c r="K736" s="71">
        <v>2</v>
      </c>
      <c r="L736" s="71"/>
      <c r="M736" s="71"/>
      <c r="N736" s="71">
        <v>2</v>
      </c>
      <c r="O736" s="71"/>
      <c r="P736" s="71"/>
      <c r="Q736" s="71"/>
      <c r="R736" s="26"/>
    </row>
    <row r="737" spans="1:18">
      <c r="A737" s="39" t="s">
        <v>570</v>
      </c>
      <c r="B737" s="85"/>
      <c r="C737" s="85"/>
      <c r="D737" s="12"/>
      <c r="E737" s="12"/>
      <c r="F737" s="12"/>
      <c r="G737" s="12"/>
      <c r="H737" s="12"/>
      <c r="I737" s="12"/>
      <c r="J737" s="211"/>
      <c r="K737" s="211"/>
      <c r="L737" s="211"/>
      <c r="M737" s="211"/>
      <c r="N737" s="211"/>
      <c r="O737" s="211"/>
      <c r="P737" s="211"/>
      <c r="Q737" s="211"/>
      <c r="R737" s="26"/>
    </row>
    <row r="738" spans="1:18">
      <c r="A738" s="5" t="s">
        <v>571</v>
      </c>
      <c r="B738" s="12"/>
      <c r="C738" s="12"/>
      <c r="D738" s="12"/>
      <c r="E738" s="12"/>
      <c r="F738" s="12"/>
      <c r="G738" s="12"/>
      <c r="H738" s="12">
        <v>1</v>
      </c>
      <c r="I738" s="12"/>
      <c r="J738" s="211"/>
      <c r="K738" s="211"/>
      <c r="L738" s="211"/>
      <c r="M738" s="211"/>
      <c r="N738" s="211"/>
      <c r="O738" s="211"/>
      <c r="P738" s="211"/>
      <c r="Q738" s="211"/>
      <c r="R738" s="26"/>
    </row>
    <row r="739" spans="1:18">
      <c r="A739" s="5" t="s">
        <v>572</v>
      </c>
      <c r="B739" s="12"/>
      <c r="C739" s="12"/>
      <c r="D739" s="12"/>
      <c r="E739" s="12"/>
      <c r="F739" s="12"/>
      <c r="G739" s="12"/>
      <c r="H739" s="71">
        <v>1</v>
      </c>
      <c r="I739" s="12"/>
      <c r="J739" s="71"/>
      <c r="K739" s="71"/>
      <c r="L739" s="71"/>
      <c r="M739" s="71"/>
      <c r="N739" s="71"/>
      <c r="O739" s="71"/>
      <c r="P739" s="71"/>
      <c r="Q739" s="71"/>
      <c r="R739" s="26"/>
    </row>
    <row r="740" spans="1:18">
      <c r="A740" s="5" t="s">
        <v>559</v>
      </c>
      <c r="B740" s="12"/>
      <c r="C740" s="12"/>
      <c r="D740" s="12"/>
      <c r="E740" s="12"/>
      <c r="F740" s="12">
        <v>1</v>
      </c>
      <c r="G740" s="12">
        <v>1</v>
      </c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26"/>
    </row>
    <row r="741" spans="1:18">
      <c r="A741" s="5" t="s">
        <v>569</v>
      </c>
      <c r="B741" s="12"/>
      <c r="C741" s="12"/>
      <c r="D741" s="12"/>
      <c r="E741" s="12"/>
      <c r="F741" s="12"/>
      <c r="G741" s="12"/>
      <c r="H741" s="12">
        <v>1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26"/>
    </row>
    <row r="742" spans="1:18">
      <c r="A742" s="39" t="s">
        <v>300</v>
      </c>
      <c r="B742" s="85"/>
      <c r="C742" s="85"/>
      <c r="D742" s="85"/>
      <c r="E742" s="85"/>
      <c r="F742" s="85"/>
      <c r="G742" s="85"/>
      <c r="H742" s="71"/>
      <c r="I742" s="85"/>
      <c r="J742" s="71"/>
      <c r="K742" s="71"/>
      <c r="L742" s="71"/>
      <c r="M742" s="71"/>
      <c r="N742" s="71"/>
      <c r="O742" s="71"/>
      <c r="P742" s="71"/>
      <c r="Q742" s="71"/>
      <c r="R742" s="26"/>
    </row>
    <row r="743" spans="1:18">
      <c r="A743" s="5" t="s">
        <v>573</v>
      </c>
      <c r="B743" s="12"/>
      <c r="C743" s="12"/>
      <c r="D743" s="12"/>
      <c r="E743" s="12"/>
      <c r="F743" s="12"/>
      <c r="G743" s="12"/>
      <c r="H743" s="12">
        <v>1</v>
      </c>
      <c r="I743" s="12"/>
      <c r="J743" s="71"/>
      <c r="K743" s="71"/>
      <c r="L743" s="71"/>
      <c r="M743" s="71"/>
      <c r="N743" s="71"/>
      <c r="O743" s="71"/>
      <c r="P743" s="71"/>
      <c r="Q743" s="71"/>
      <c r="R743" s="26"/>
    </row>
    <row r="744" spans="1:18">
      <c r="A744" s="5" t="s">
        <v>559</v>
      </c>
      <c r="B744" s="12"/>
      <c r="C744" s="12"/>
      <c r="D744" s="12"/>
      <c r="E744" s="12"/>
      <c r="F744" s="12"/>
      <c r="G744" s="12"/>
      <c r="H744" s="12">
        <v>1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26"/>
    </row>
    <row r="745" spans="1:18">
      <c r="A745" s="5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26"/>
    </row>
    <row r="746" spans="1:18">
      <c r="A746" s="39" t="s">
        <v>575</v>
      </c>
      <c r="B746" s="85"/>
      <c r="C746" s="85"/>
      <c r="D746" s="85"/>
      <c r="E746" s="85"/>
      <c r="F746" s="85"/>
      <c r="G746" s="85"/>
      <c r="H746" s="85"/>
      <c r="I746" s="85"/>
      <c r="J746" s="4"/>
      <c r="K746" s="4"/>
      <c r="L746" s="4"/>
      <c r="M746" s="4"/>
      <c r="N746" s="4"/>
      <c r="O746" s="4"/>
      <c r="P746" s="4"/>
      <c r="Q746" s="4"/>
      <c r="R746" s="26"/>
    </row>
    <row r="747" spans="1:18">
      <c r="A747" s="6" t="s">
        <v>574</v>
      </c>
      <c r="B747" s="85"/>
      <c r="C747" s="85"/>
      <c r="D747" s="85"/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  <c r="R747" s="26"/>
    </row>
    <row r="748" spans="1:18">
      <c r="A748" s="6" t="s">
        <v>509</v>
      </c>
      <c r="B748" s="4"/>
      <c r="C748" s="4"/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26"/>
    </row>
    <row r="749" spans="1:18">
      <c r="A749" s="6" t="s">
        <v>333</v>
      </c>
      <c r="B749" s="4"/>
      <c r="C749" s="4"/>
      <c r="D749" s="212"/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26"/>
    </row>
    <row r="750" spans="1:18">
      <c r="A750" s="6" t="s">
        <v>334</v>
      </c>
      <c r="B750" s="4"/>
      <c r="C750" s="4"/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26"/>
    </row>
    <row r="751" spans="1:18">
      <c r="A751" s="6" t="s">
        <v>5</v>
      </c>
      <c r="B751" s="4"/>
      <c r="C751" s="4"/>
      <c r="D751" s="4">
        <f>SUM(D747:D750)</f>
        <v>2</v>
      </c>
      <c r="E751" s="4">
        <f t="shared" ref="E751:Q751" si="186">SUM(E747:E750)</f>
        <v>4</v>
      </c>
      <c r="F751" s="4">
        <f t="shared" si="186"/>
        <v>4</v>
      </c>
      <c r="G751" s="4">
        <f t="shared" si="186"/>
        <v>4</v>
      </c>
      <c r="H751" s="4">
        <f t="shared" si="186"/>
        <v>4</v>
      </c>
      <c r="I751" s="4">
        <f t="shared" si="186"/>
        <v>4</v>
      </c>
      <c r="J751" s="4">
        <f t="shared" si="186"/>
        <v>4</v>
      </c>
      <c r="K751" s="4">
        <f t="shared" si="186"/>
        <v>4</v>
      </c>
      <c r="L751" s="4">
        <f t="shared" si="186"/>
        <v>4</v>
      </c>
      <c r="M751" s="4">
        <f t="shared" si="186"/>
        <v>4</v>
      </c>
      <c r="N751" s="4">
        <f t="shared" si="186"/>
        <v>4</v>
      </c>
      <c r="O751" s="4">
        <f t="shared" si="186"/>
        <v>4</v>
      </c>
      <c r="P751" s="4">
        <f t="shared" si="186"/>
        <v>4</v>
      </c>
      <c r="Q751" s="4">
        <f t="shared" si="186"/>
        <v>4</v>
      </c>
      <c r="R751" s="26"/>
    </row>
    <row r="752" spans="1:18">
      <c r="A752" s="8"/>
      <c r="B752" s="34"/>
      <c r="C752" s="34"/>
      <c r="D752" s="34"/>
      <c r="E752" s="34"/>
      <c r="F752" s="34"/>
      <c r="G752" s="34"/>
      <c r="H752" s="34"/>
      <c r="I752" s="34"/>
      <c r="J752" s="51"/>
      <c r="K752" s="51"/>
      <c r="L752" s="51"/>
      <c r="M752" s="51"/>
      <c r="N752" s="51"/>
      <c r="O752" s="51"/>
      <c r="P752" s="51"/>
      <c r="Q752" s="51"/>
      <c r="R752" s="35"/>
    </row>
    <row r="753" spans="1:20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31"/>
      <c r="M753" s="31"/>
      <c r="N753" s="31"/>
      <c r="O753" s="31"/>
      <c r="P753" s="31"/>
      <c r="Q753" s="31"/>
    </row>
    <row r="757" spans="1:20">
      <c r="A757" s="13" t="s">
        <v>0</v>
      </c>
      <c r="B757" s="77"/>
      <c r="C757" s="77"/>
      <c r="D757" s="77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5"/>
    </row>
    <row r="758" spans="1:20">
      <c r="A758" s="16" t="str">
        <f>Title!$F$10</f>
        <v>ARTHUR RIVER MAGNESITE PROJECT</v>
      </c>
      <c r="B758" s="78"/>
      <c r="C758" s="78"/>
      <c r="D758" s="78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</row>
    <row r="759" spans="1:20">
      <c r="A759" s="16" t="str">
        <f>Title!$F$12</f>
        <v>ORDER OF MAGNITUDE COST STUDY: CALCINE PRODUCTION ONLY</v>
      </c>
      <c r="B759" s="78"/>
      <c r="C759" s="78"/>
      <c r="D759" s="78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</row>
    <row r="760" spans="1:20">
      <c r="A760" s="19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 t="str">
        <f>Title!$F$19</f>
        <v>3 October 2011</v>
      </c>
      <c r="S760" s="18"/>
    </row>
    <row r="761" spans="1:20">
      <c r="A761" s="20" t="s">
        <v>496</v>
      </c>
      <c r="B761" s="79"/>
      <c r="C761" s="79"/>
      <c r="D761" s="79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</row>
    <row r="762" spans="1:20">
      <c r="A762" s="46"/>
      <c r="B762" s="41" t="s">
        <v>26</v>
      </c>
      <c r="C762" s="41" t="s">
        <v>26</v>
      </c>
      <c r="D762" s="41" t="s">
        <v>26</v>
      </c>
      <c r="E762" s="41" t="s">
        <v>26</v>
      </c>
      <c r="F762" s="41" t="s">
        <v>26</v>
      </c>
      <c r="G762" s="41" t="s">
        <v>26</v>
      </c>
      <c r="H762" s="41" t="s">
        <v>26</v>
      </c>
      <c r="I762" s="41" t="s">
        <v>26</v>
      </c>
      <c r="J762" s="41" t="s">
        <v>26</v>
      </c>
      <c r="K762" s="41" t="s">
        <v>26</v>
      </c>
      <c r="L762" s="41" t="s">
        <v>26</v>
      </c>
      <c r="M762" s="41" t="s">
        <v>26</v>
      </c>
      <c r="N762" s="41" t="s">
        <v>26</v>
      </c>
      <c r="O762" s="41" t="s">
        <v>26</v>
      </c>
      <c r="P762" s="41" t="s">
        <v>26</v>
      </c>
      <c r="Q762" s="41" t="s">
        <v>26</v>
      </c>
      <c r="R762" s="41"/>
      <c r="S762" s="42" t="s">
        <v>5</v>
      </c>
      <c r="T762" s="86" t="s">
        <v>32</v>
      </c>
    </row>
    <row r="763" spans="1:20">
      <c r="A763" s="8"/>
      <c r="B763" s="43">
        <v>-3</v>
      </c>
      <c r="C763" s="43">
        <v>-2</v>
      </c>
      <c r="D763" s="43">
        <v>-1</v>
      </c>
      <c r="E763" s="43">
        <v>1</v>
      </c>
      <c r="F763" s="43">
        <v>2</v>
      </c>
      <c r="G763" s="43">
        <v>3</v>
      </c>
      <c r="H763" s="43">
        <v>4</v>
      </c>
      <c r="I763" s="43">
        <v>5</v>
      </c>
      <c r="J763" s="43">
        <v>6</v>
      </c>
      <c r="K763" s="43">
        <v>7</v>
      </c>
      <c r="L763" s="43">
        <v>8</v>
      </c>
      <c r="M763" s="43">
        <v>9</v>
      </c>
      <c r="N763" s="43">
        <v>10</v>
      </c>
      <c r="O763" s="43">
        <v>11</v>
      </c>
      <c r="P763" s="43">
        <v>12</v>
      </c>
      <c r="Q763" s="43">
        <v>13</v>
      </c>
      <c r="R763" s="43"/>
      <c r="S763" s="47"/>
    </row>
    <row r="764" spans="1:20">
      <c r="A764" s="5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11"/>
      <c r="T764" s="2"/>
    </row>
    <row r="765" spans="1:20">
      <c r="A765" s="39" t="s">
        <v>320</v>
      </c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11"/>
    </row>
    <row r="766" spans="1:20">
      <c r="A766" s="5" t="s">
        <v>358</v>
      </c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11"/>
    </row>
    <row r="767" spans="1:20">
      <c r="A767" s="5" t="s">
        <v>359</v>
      </c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11">
        <f t="shared" ref="S767:S769" si="187">SUM(B767:R767)</f>
        <v>0</v>
      </c>
    </row>
    <row r="768" spans="1:20">
      <c r="A768" s="5" t="s">
        <v>481</v>
      </c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11">
        <f t="shared" si="187"/>
        <v>0</v>
      </c>
    </row>
    <row r="769" spans="1:19">
      <c r="A769" s="5" t="s">
        <v>361</v>
      </c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11">
        <f t="shared" si="187"/>
        <v>0</v>
      </c>
    </row>
    <row r="770" spans="1:19">
      <c r="A770" s="5" t="s">
        <v>80</v>
      </c>
      <c r="B770" s="31"/>
      <c r="C770" s="31"/>
      <c r="D770" s="31"/>
      <c r="E770" s="31">
        <f>SUM(E766:E769)</f>
        <v>0</v>
      </c>
      <c r="F770" s="31">
        <f t="shared" ref="F770" si="188">SUM(F766:F769)</f>
        <v>0</v>
      </c>
      <c r="G770" s="31">
        <f t="shared" ref="G770" si="189">SUM(G766:G769)</f>
        <v>0</v>
      </c>
      <c r="H770" s="31">
        <f t="shared" ref="H770" si="190">SUM(H766:H769)</f>
        <v>0</v>
      </c>
      <c r="I770" s="31">
        <f t="shared" ref="I770" si="191">SUM(I766:I769)</f>
        <v>0</v>
      </c>
      <c r="J770" s="31">
        <f t="shared" ref="J770" si="192">SUM(J766:J769)</f>
        <v>0</v>
      </c>
      <c r="K770" s="31">
        <f t="shared" ref="K770" si="193">SUM(K766:K769)</f>
        <v>0</v>
      </c>
      <c r="L770" s="31">
        <f t="shared" ref="L770" si="194">SUM(L766:L769)</f>
        <v>0</v>
      </c>
      <c r="M770" s="31">
        <f t="shared" ref="M770" si="195">SUM(M766:M769)</f>
        <v>0</v>
      </c>
      <c r="N770" s="31">
        <f t="shared" ref="N770" si="196">SUM(N766:N769)</f>
        <v>0</v>
      </c>
      <c r="O770" s="31">
        <f t="shared" ref="O770" si="197">SUM(O766:O769)</f>
        <v>0</v>
      </c>
      <c r="P770" s="31">
        <f t="shared" ref="P770" si="198">SUM(P766:P769)</f>
        <v>0</v>
      </c>
      <c r="Q770" s="31">
        <f t="shared" ref="Q770" si="199">SUM(Q766:Q769)</f>
        <v>0</v>
      </c>
      <c r="R770" s="31"/>
      <c r="S770" s="11">
        <f t="shared" ref="S770:S775" si="200">SUM(B770:R770)</f>
        <v>0</v>
      </c>
    </row>
    <row r="771" spans="1:19">
      <c r="A771" s="39" t="s">
        <v>244</v>
      </c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11"/>
    </row>
    <row r="772" spans="1:19">
      <c r="A772" s="5" t="s">
        <v>348</v>
      </c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11">
        <f t="shared" si="200"/>
        <v>0</v>
      </c>
    </row>
    <row r="773" spans="1:19">
      <c r="A773" s="5" t="s">
        <v>481</v>
      </c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11">
        <f t="shared" si="200"/>
        <v>0</v>
      </c>
    </row>
    <row r="774" spans="1:19">
      <c r="A774" s="5" t="s">
        <v>361</v>
      </c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11">
        <f t="shared" si="200"/>
        <v>0</v>
      </c>
    </row>
    <row r="775" spans="1:19">
      <c r="A775" s="5" t="s">
        <v>482</v>
      </c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11">
        <f t="shared" si="200"/>
        <v>0</v>
      </c>
    </row>
    <row r="776" spans="1:19">
      <c r="A776" s="5" t="s">
        <v>80</v>
      </c>
      <c r="B776" s="31"/>
      <c r="C776" s="31"/>
      <c r="D776" s="31"/>
      <c r="E776" s="31">
        <f>E676*'Phys Input'!$B182/1000</f>
        <v>0</v>
      </c>
      <c r="F776" s="31">
        <f>F676*'Phys Input'!$B182/1000</f>
        <v>0</v>
      </c>
      <c r="G776" s="31">
        <f>G676*'Phys Input'!$B182/1000</f>
        <v>0</v>
      </c>
      <c r="H776" s="31">
        <f>H676*'Phys Input'!$B182/1000</f>
        <v>0</v>
      </c>
      <c r="I776" s="31">
        <f>I676*'Phys Input'!$B182/1000</f>
        <v>0</v>
      </c>
      <c r="J776" s="31">
        <f>J676*'Phys Input'!$B182/1000</f>
        <v>0</v>
      </c>
      <c r="K776" s="31">
        <f>K676*'Phys Input'!$B182/1000</f>
        <v>0</v>
      </c>
      <c r="L776" s="31">
        <f>L676*'Phys Input'!$B182/1000</f>
        <v>0</v>
      </c>
      <c r="M776" s="31">
        <f>M676*'Phys Input'!$B182/1000</f>
        <v>0</v>
      </c>
      <c r="N776" s="31">
        <f>N676*'Phys Input'!$B182/1000</f>
        <v>0</v>
      </c>
      <c r="O776" s="31">
        <f>O676*'Phys Input'!$B182/1000</f>
        <v>0</v>
      </c>
      <c r="P776" s="31">
        <f>P676*'Phys Input'!$B182/1000</f>
        <v>0</v>
      </c>
      <c r="Q776" s="31">
        <f>Q676*'Phys Input'!$B182/1000</f>
        <v>0</v>
      </c>
      <c r="R776" s="31"/>
      <c r="S776" s="11">
        <f t="shared" ref="S776:S778" si="201">SUM(B776:R776)</f>
        <v>0</v>
      </c>
    </row>
    <row r="777" spans="1:19">
      <c r="A777" s="39" t="s">
        <v>5</v>
      </c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11"/>
    </row>
    <row r="778" spans="1:19">
      <c r="A778" s="5" t="s">
        <v>456</v>
      </c>
      <c r="B778" s="31"/>
      <c r="C778" s="31"/>
      <c r="D778" s="31"/>
      <c r="E778" s="31">
        <f>E770+E776</f>
        <v>0</v>
      </c>
      <c r="F778" s="31">
        <f t="shared" ref="F778:Q778" si="202">F770+F776</f>
        <v>0</v>
      </c>
      <c r="G778" s="31">
        <f t="shared" si="202"/>
        <v>0</v>
      </c>
      <c r="H778" s="31">
        <f t="shared" si="202"/>
        <v>0</v>
      </c>
      <c r="I778" s="31">
        <f t="shared" si="202"/>
        <v>0</v>
      </c>
      <c r="J778" s="31">
        <f t="shared" si="202"/>
        <v>0</v>
      </c>
      <c r="K778" s="31">
        <f t="shared" si="202"/>
        <v>0</v>
      </c>
      <c r="L778" s="31">
        <f t="shared" si="202"/>
        <v>0</v>
      </c>
      <c r="M778" s="31">
        <f t="shared" si="202"/>
        <v>0</v>
      </c>
      <c r="N778" s="31">
        <f t="shared" si="202"/>
        <v>0</v>
      </c>
      <c r="O778" s="31">
        <f t="shared" si="202"/>
        <v>0</v>
      </c>
      <c r="P778" s="31">
        <f t="shared" si="202"/>
        <v>0</v>
      </c>
      <c r="Q778" s="31">
        <f t="shared" si="202"/>
        <v>0</v>
      </c>
      <c r="R778" s="31"/>
      <c r="S778" s="11">
        <f t="shared" si="201"/>
        <v>0</v>
      </c>
    </row>
    <row r="779" spans="1:19">
      <c r="A779" s="5" t="s">
        <v>483</v>
      </c>
      <c r="B779" s="91"/>
      <c r="C779" s="91"/>
      <c r="D779" s="91"/>
      <c r="E779" s="91">
        <f>E775</f>
        <v>0</v>
      </c>
      <c r="F779" s="91">
        <f t="shared" ref="F779:Q779" si="203">F775</f>
        <v>0</v>
      </c>
      <c r="G779" s="91">
        <f t="shared" si="203"/>
        <v>0</v>
      </c>
      <c r="H779" s="91">
        <f t="shared" si="203"/>
        <v>0</v>
      </c>
      <c r="I779" s="91">
        <f t="shared" si="203"/>
        <v>0</v>
      </c>
      <c r="J779" s="91">
        <f t="shared" si="203"/>
        <v>0</v>
      </c>
      <c r="K779" s="91">
        <f t="shared" si="203"/>
        <v>0</v>
      </c>
      <c r="L779" s="91">
        <f t="shared" si="203"/>
        <v>0</v>
      </c>
      <c r="M779" s="91">
        <f t="shared" si="203"/>
        <v>0</v>
      </c>
      <c r="N779" s="91">
        <f t="shared" si="203"/>
        <v>0</v>
      </c>
      <c r="O779" s="91">
        <f t="shared" si="203"/>
        <v>0</v>
      </c>
      <c r="P779" s="91">
        <f t="shared" si="203"/>
        <v>0</v>
      </c>
      <c r="Q779" s="91">
        <f t="shared" si="203"/>
        <v>0</v>
      </c>
      <c r="R779" s="91"/>
      <c r="S779" s="92">
        <f t="shared" ref="S779" si="204">SUM(B779:R779)</f>
        <v>0</v>
      </c>
    </row>
    <row r="780" spans="1:19">
      <c r="A780" s="5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11"/>
    </row>
    <row r="781" spans="1:19">
      <c r="A781" s="8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8"/>
    </row>
  </sheetData>
  <phoneticPr fontId="5" type="noConversion"/>
  <pageMargins left="0.75" right="0.75" top="1" bottom="1" header="0.5" footer="0.5"/>
  <pageSetup orientation="portrait" horizontalDpi="200" verticalDpi="200" r:id="rId1"/>
  <headerFooter alignWithMargins="0"/>
  <ignoredErrors>
    <ignoredError sqref="E675:Q675 E699:Q69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="85" zoomScaleNormal="85" workbookViewId="0">
      <selection activeCell="A22" sqref="A22"/>
    </sheetView>
  </sheetViews>
  <sheetFormatPr defaultRowHeight="12.75"/>
  <cols>
    <col min="1" max="1" width="31.42578125" customWidth="1"/>
  </cols>
  <sheetData>
    <row r="1" spans="1:7">
      <c r="A1" s="13" t="s">
        <v>0</v>
      </c>
      <c r="B1" s="14"/>
      <c r="C1" s="14"/>
      <c r="D1" s="14"/>
      <c r="E1" s="15"/>
    </row>
    <row r="2" spans="1:7">
      <c r="A2" s="16" t="str">
        <f>Title!$F$10</f>
        <v>ARTHUR RIVER MAGNESITE PROJECT</v>
      </c>
      <c r="B2" s="17"/>
      <c r="C2" s="17"/>
      <c r="D2" s="17"/>
      <c r="E2" s="18"/>
    </row>
    <row r="3" spans="1:7">
      <c r="A3" s="16" t="str">
        <f>Title!$F$12</f>
        <v>ORDER OF MAGNITUDE COST STUDY: CALCINE PRODUCTION ONLY</v>
      </c>
      <c r="B3" s="17"/>
      <c r="C3" s="17"/>
      <c r="D3" s="17"/>
      <c r="E3" s="18"/>
    </row>
    <row r="4" spans="1:7">
      <c r="A4" s="19"/>
      <c r="B4" s="17"/>
      <c r="C4" s="17"/>
      <c r="D4" s="17" t="str">
        <f>Title!$F$19</f>
        <v>3 October 2011</v>
      </c>
      <c r="E4" s="18"/>
      <c r="G4" s="1" t="s">
        <v>510</v>
      </c>
    </row>
    <row r="5" spans="1:7">
      <c r="A5" s="20" t="s">
        <v>511</v>
      </c>
      <c r="B5" s="21"/>
      <c r="C5" s="21"/>
      <c r="D5" s="21"/>
      <c r="E5" s="22"/>
    </row>
    <row r="6" spans="1:7">
      <c r="A6" s="195"/>
      <c r="B6" s="196"/>
      <c r="C6" s="196"/>
      <c r="D6" s="196"/>
      <c r="E6" s="26"/>
    </row>
    <row r="7" spans="1:7">
      <c r="A7" s="197" t="s">
        <v>512</v>
      </c>
      <c r="B7" s="198" t="s">
        <v>579</v>
      </c>
      <c r="C7" s="198" t="s">
        <v>513</v>
      </c>
      <c r="D7" s="198" t="s">
        <v>514</v>
      </c>
      <c r="E7" s="199"/>
    </row>
    <row r="8" spans="1:7">
      <c r="A8" s="46" t="s">
        <v>515</v>
      </c>
      <c r="B8" s="200"/>
      <c r="C8" s="200">
        <v>0.09</v>
      </c>
      <c r="D8" s="200">
        <v>0.09</v>
      </c>
      <c r="E8" s="199"/>
      <c r="G8" s="81" t="s">
        <v>516</v>
      </c>
    </row>
    <row r="9" spans="1:7">
      <c r="A9" s="5" t="s">
        <v>517</v>
      </c>
      <c r="B9" s="201"/>
      <c r="C9" s="201">
        <v>0.05</v>
      </c>
      <c r="D9" s="201">
        <v>0.05</v>
      </c>
      <c r="E9" s="199"/>
      <c r="G9" s="81" t="s">
        <v>516</v>
      </c>
    </row>
    <row r="10" spans="1:7">
      <c r="A10" s="5" t="s">
        <v>518</v>
      </c>
      <c r="B10" s="201"/>
      <c r="C10" s="201">
        <v>0</v>
      </c>
      <c r="D10" s="201">
        <v>0</v>
      </c>
      <c r="E10" s="199"/>
      <c r="G10" s="81" t="s">
        <v>516</v>
      </c>
    </row>
    <row r="11" spans="1:7">
      <c r="A11" s="5" t="s">
        <v>519</v>
      </c>
      <c r="B11" s="201"/>
      <c r="C11" s="201">
        <f>5000/60000*0.5</f>
        <v>4.1666666666666664E-2</v>
      </c>
      <c r="D11" s="201">
        <f>5000/60000*0.5</f>
        <v>4.1666666666666664E-2</v>
      </c>
      <c r="E11" s="199"/>
      <c r="G11" s="81" t="s">
        <v>516</v>
      </c>
    </row>
    <row r="12" spans="1:7">
      <c r="A12" s="8" t="s">
        <v>5</v>
      </c>
      <c r="B12" s="202">
        <v>0.5</v>
      </c>
      <c r="C12" s="202">
        <f>SUM(C8:C11)</f>
        <v>0.18166666666666667</v>
      </c>
      <c r="D12" s="202">
        <f>SUM(D8:D11)</f>
        <v>0.18166666666666667</v>
      </c>
      <c r="E12" s="26"/>
      <c r="G12" s="81" t="s">
        <v>578</v>
      </c>
    </row>
    <row r="13" spans="1:7">
      <c r="A13" s="30"/>
      <c r="B13" s="27"/>
      <c r="C13" s="4"/>
      <c r="D13" s="4"/>
      <c r="E13" s="26"/>
    </row>
    <row r="14" spans="1:7">
      <c r="A14" s="203" t="s">
        <v>520</v>
      </c>
      <c r="B14" s="203" t="s">
        <v>521</v>
      </c>
      <c r="C14" s="203" t="s">
        <v>522</v>
      </c>
      <c r="D14" s="203" t="s">
        <v>5</v>
      </c>
      <c r="E14" s="26"/>
    </row>
    <row r="15" spans="1:7">
      <c r="A15" s="204"/>
      <c r="B15" s="205" t="s">
        <v>523</v>
      </c>
      <c r="C15" s="205" t="s">
        <v>523</v>
      </c>
      <c r="D15" s="205" t="s">
        <v>523</v>
      </c>
      <c r="E15" s="26"/>
    </row>
    <row r="16" spans="1:7">
      <c r="A16" s="39" t="s">
        <v>736</v>
      </c>
      <c r="B16" s="206"/>
      <c r="C16" s="109"/>
      <c r="D16" s="109"/>
      <c r="E16" s="26"/>
    </row>
    <row r="17" spans="1:12">
      <c r="A17" s="5" t="s">
        <v>651</v>
      </c>
      <c r="B17" s="206">
        <v>90000</v>
      </c>
      <c r="C17" s="109">
        <f>B17*$C$12</f>
        <v>16350</v>
      </c>
      <c r="D17" s="109">
        <f t="shared" ref="D17" si="0">SUM(B17:C17)</f>
        <v>106350</v>
      </c>
      <c r="E17" s="26"/>
      <c r="G17" s="81" t="s">
        <v>652</v>
      </c>
    </row>
    <row r="18" spans="1:12">
      <c r="A18" s="6" t="s">
        <v>533</v>
      </c>
      <c r="B18" s="109">
        <v>75000</v>
      </c>
      <c r="C18" s="109">
        <f>B18*$D$12</f>
        <v>13625</v>
      </c>
      <c r="D18" s="109">
        <f t="shared" ref="D18:D22" si="1">SUM(B18:C18)</f>
        <v>88625</v>
      </c>
      <c r="E18" s="26"/>
      <c r="G18" s="81" t="s">
        <v>652</v>
      </c>
    </row>
    <row r="19" spans="1:12">
      <c r="A19" s="6" t="s">
        <v>534</v>
      </c>
      <c r="B19" s="109">
        <v>75000</v>
      </c>
      <c r="C19" s="109">
        <f>B19*$D$12</f>
        <v>13625</v>
      </c>
      <c r="D19" s="109">
        <f t="shared" si="1"/>
        <v>88625</v>
      </c>
      <c r="E19" s="26"/>
      <c r="G19" s="81" t="s">
        <v>652</v>
      </c>
    </row>
    <row r="20" spans="1:12">
      <c r="A20" s="6" t="s">
        <v>471</v>
      </c>
      <c r="B20" s="109">
        <v>80000</v>
      </c>
      <c r="C20" s="109">
        <f>B20*$D$12</f>
        <v>14533.333333333334</v>
      </c>
      <c r="D20" s="109">
        <f t="shared" si="1"/>
        <v>94533.333333333328</v>
      </c>
      <c r="E20" s="26"/>
      <c r="G20" s="81" t="s">
        <v>652</v>
      </c>
    </row>
    <row r="21" spans="1:12">
      <c r="A21" s="5" t="s">
        <v>739</v>
      </c>
      <c r="B21" s="109">
        <v>80000</v>
      </c>
      <c r="C21" s="109">
        <f>B21*$D$12</f>
        <v>14533.333333333334</v>
      </c>
      <c r="D21" s="109">
        <f t="shared" si="1"/>
        <v>94533.333333333328</v>
      </c>
      <c r="E21" s="26"/>
      <c r="G21" s="81" t="s">
        <v>652</v>
      </c>
    </row>
    <row r="22" spans="1:12">
      <c r="A22" s="5" t="s">
        <v>526</v>
      </c>
      <c r="B22" s="109">
        <v>80000</v>
      </c>
      <c r="C22" s="109">
        <f>B22*$D$12</f>
        <v>14533.333333333334</v>
      </c>
      <c r="D22" s="109">
        <f t="shared" si="1"/>
        <v>94533.333333333328</v>
      </c>
      <c r="E22" s="26"/>
    </row>
    <row r="23" spans="1:12">
      <c r="A23" s="39" t="s">
        <v>509</v>
      </c>
      <c r="B23" s="206"/>
      <c r="C23" s="109"/>
      <c r="D23" s="109"/>
      <c r="E23" s="26"/>
    </row>
    <row r="24" spans="1:12">
      <c r="A24" s="5" t="s">
        <v>560</v>
      </c>
      <c r="B24" s="206">
        <v>135000</v>
      </c>
      <c r="C24" s="109">
        <f>B24*$C$12</f>
        <v>24525</v>
      </c>
      <c r="D24" s="109">
        <f t="shared" ref="D24:D25" si="2">SUM(B24:C24)</f>
        <v>159525</v>
      </c>
      <c r="E24" s="26"/>
      <c r="G24" s="81" t="s">
        <v>652</v>
      </c>
      <c r="L24" s="81" t="s">
        <v>561</v>
      </c>
    </row>
    <row r="25" spans="1:12">
      <c r="A25" s="5" t="s">
        <v>468</v>
      </c>
      <c r="B25" s="109">
        <v>65000</v>
      </c>
      <c r="C25" s="109">
        <f>B25*$D$12</f>
        <v>11808.333333333334</v>
      </c>
      <c r="D25" s="109">
        <f t="shared" si="2"/>
        <v>76808.333333333328</v>
      </c>
      <c r="E25" s="26"/>
      <c r="G25" t="s">
        <v>524</v>
      </c>
      <c r="L25" s="81" t="s">
        <v>561</v>
      </c>
    </row>
    <row r="26" spans="1:12">
      <c r="A26" s="5" t="s">
        <v>562</v>
      </c>
      <c r="B26" s="109">
        <v>50000</v>
      </c>
      <c r="C26" s="109">
        <f>B26*$D$12</f>
        <v>9083.3333333333339</v>
      </c>
      <c r="D26" s="109">
        <f t="shared" ref="D26" si="3">SUM(B26:C26)</f>
        <v>59083.333333333336</v>
      </c>
      <c r="E26" s="26"/>
      <c r="G26" t="s">
        <v>524</v>
      </c>
      <c r="L26" s="81" t="s">
        <v>561</v>
      </c>
    </row>
    <row r="27" spans="1:12">
      <c r="A27" s="65" t="s">
        <v>527</v>
      </c>
      <c r="B27" s="6"/>
      <c r="C27" s="6"/>
      <c r="D27" s="6"/>
      <c r="E27" s="26"/>
    </row>
    <row r="28" spans="1:12">
      <c r="A28" s="5" t="s">
        <v>581</v>
      </c>
      <c r="B28" s="109">
        <v>120000</v>
      </c>
      <c r="C28" s="109">
        <f>B28*$C$12</f>
        <v>21800</v>
      </c>
      <c r="D28" s="109">
        <f t="shared" ref="D28:D41" si="4">SUM(B28:C28)</f>
        <v>141800</v>
      </c>
      <c r="E28" s="26"/>
      <c r="G28" t="s">
        <v>524</v>
      </c>
    </row>
    <row r="29" spans="1:12">
      <c r="A29" s="5" t="s">
        <v>528</v>
      </c>
      <c r="B29" s="109">
        <v>105000</v>
      </c>
      <c r="C29" s="109">
        <f>B29*$C$12</f>
        <v>19075</v>
      </c>
      <c r="D29" s="109">
        <f t="shared" si="4"/>
        <v>124075</v>
      </c>
      <c r="E29" s="26"/>
    </row>
    <row r="30" spans="1:12">
      <c r="A30" s="5" t="s">
        <v>529</v>
      </c>
      <c r="B30" s="109">
        <v>95000</v>
      </c>
      <c r="C30" s="109">
        <f>B30*$C$12</f>
        <v>17258.333333333332</v>
      </c>
      <c r="D30" s="109">
        <f t="shared" si="4"/>
        <v>112258.33333333333</v>
      </c>
      <c r="E30" s="26"/>
      <c r="G30" t="s">
        <v>530</v>
      </c>
    </row>
    <row r="31" spans="1:12">
      <c r="A31" s="6" t="s">
        <v>531</v>
      </c>
      <c r="B31" s="109">
        <v>90000</v>
      </c>
      <c r="C31" s="109">
        <f>B31*$C$12</f>
        <v>16350</v>
      </c>
      <c r="D31" s="109">
        <f t="shared" si="4"/>
        <v>106350</v>
      </c>
      <c r="E31" s="26"/>
      <c r="G31" t="s">
        <v>525</v>
      </c>
    </row>
    <row r="32" spans="1:12">
      <c r="A32" s="5" t="s">
        <v>532</v>
      </c>
      <c r="B32" s="109">
        <v>80000</v>
      </c>
      <c r="C32" s="109">
        <f>B32*$C$12</f>
        <v>14533.333333333334</v>
      </c>
      <c r="D32" s="109">
        <f t="shared" si="4"/>
        <v>94533.333333333328</v>
      </c>
      <c r="E32" s="26"/>
      <c r="G32" t="s">
        <v>525</v>
      </c>
    </row>
    <row r="33" spans="1:7">
      <c r="A33" s="6" t="s">
        <v>533</v>
      </c>
      <c r="B33" s="109">
        <v>60000</v>
      </c>
      <c r="C33" s="109">
        <f>B33*$D$12</f>
        <v>10900</v>
      </c>
      <c r="D33" s="109">
        <f t="shared" si="4"/>
        <v>70900</v>
      </c>
      <c r="E33" s="26"/>
      <c r="G33" t="s">
        <v>525</v>
      </c>
    </row>
    <row r="34" spans="1:7">
      <c r="A34" s="6" t="s">
        <v>534</v>
      </c>
      <c r="B34" s="109">
        <v>60000</v>
      </c>
      <c r="C34" s="109">
        <f>B34*$D$12</f>
        <v>10900</v>
      </c>
      <c r="D34" s="109">
        <f t="shared" si="4"/>
        <v>70900</v>
      </c>
      <c r="E34" s="26"/>
      <c r="G34" t="s">
        <v>525</v>
      </c>
    </row>
    <row r="35" spans="1:7">
      <c r="A35" s="6" t="s">
        <v>535</v>
      </c>
      <c r="B35" s="109">
        <v>70000</v>
      </c>
      <c r="C35" s="109">
        <f>B35*$D$12</f>
        <v>12716.666666666666</v>
      </c>
      <c r="D35" s="109">
        <f t="shared" si="4"/>
        <v>82716.666666666672</v>
      </c>
      <c r="E35" s="26"/>
      <c r="G35" t="s">
        <v>524</v>
      </c>
    </row>
    <row r="36" spans="1:7">
      <c r="A36" s="5" t="s">
        <v>536</v>
      </c>
      <c r="B36" s="109">
        <v>70000</v>
      </c>
      <c r="C36" s="109">
        <f>B36*$D$12</f>
        <v>12716.666666666666</v>
      </c>
      <c r="D36" s="109">
        <f t="shared" si="4"/>
        <v>82716.666666666672</v>
      </c>
      <c r="E36" s="26"/>
      <c r="G36" t="s">
        <v>525</v>
      </c>
    </row>
    <row r="37" spans="1:7">
      <c r="A37" s="5" t="s">
        <v>537</v>
      </c>
      <c r="B37" s="109">
        <v>50000</v>
      </c>
      <c r="C37" s="109">
        <f>B37*$D$12</f>
        <v>9083.3333333333339</v>
      </c>
      <c r="D37" s="109">
        <f t="shared" si="4"/>
        <v>59083.333333333336</v>
      </c>
      <c r="E37" s="26"/>
      <c r="G37" t="s">
        <v>530</v>
      </c>
    </row>
    <row r="38" spans="1:7">
      <c r="A38" s="6" t="s">
        <v>538</v>
      </c>
      <c r="B38" s="109">
        <v>75000</v>
      </c>
      <c r="C38" s="109">
        <f>B38*$C$12</f>
        <v>13625</v>
      </c>
      <c r="D38" s="109">
        <f t="shared" si="4"/>
        <v>88625</v>
      </c>
      <c r="E38" s="26"/>
      <c r="G38" t="s">
        <v>525</v>
      </c>
    </row>
    <row r="39" spans="1:7">
      <c r="A39" s="6" t="s">
        <v>539</v>
      </c>
      <c r="B39" s="206">
        <v>60000</v>
      </c>
      <c r="C39" s="109">
        <f>B39*$D$12</f>
        <v>10900</v>
      </c>
      <c r="D39" s="109">
        <f t="shared" si="4"/>
        <v>70900</v>
      </c>
      <c r="E39" s="26"/>
      <c r="G39" t="s">
        <v>525</v>
      </c>
    </row>
    <row r="40" spans="1:7">
      <c r="A40" s="6" t="s">
        <v>540</v>
      </c>
      <c r="B40" s="109">
        <v>45000</v>
      </c>
      <c r="C40" s="109">
        <f>B40*$D$12</f>
        <v>8175</v>
      </c>
      <c r="D40" s="109">
        <f t="shared" si="4"/>
        <v>53175</v>
      </c>
      <c r="E40" s="26"/>
      <c r="G40" t="s">
        <v>524</v>
      </c>
    </row>
    <row r="41" spans="1:7">
      <c r="A41" s="5" t="s">
        <v>526</v>
      </c>
      <c r="B41" s="109">
        <v>60000</v>
      </c>
      <c r="C41" s="109">
        <f>B41*$D$12</f>
        <v>10900</v>
      </c>
      <c r="D41" s="109">
        <f t="shared" si="4"/>
        <v>70900</v>
      </c>
      <c r="E41" s="26"/>
    </row>
    <row r="42" spans="1:7">
      <c r="A42" s="65" t="s">
        <v>541</v>
      </c>
      <c r="B42" s="6"/>
      <c r="C42" s="6"/>
      <c r="D42" s="6"/>
      <c r="E42" s="26"/>
      <c r="G42" t="s">
        <v>524</v>
      </c>
    </row>
    <row r="43" spans="1:7">
      <c r="A43" s="122" t="s">
        <v>542</v>
      </c>
      <c r="B43" s="109">
        <v>120000</v>
      </c>
      <c r="C43" s="109">
        <f>B43*$C$12</f>
        <v>21800</v>
      </c>
      <c r="D43" s="109">
        <f t="shared" ref="D43:D49" si="5">SUM(B43:C43)</f>
        <v>141800</v>
      </c>
      <c r="E43" s="26"/>
    </row>
    <row r="44" spans="1:7">
      <c r="A44" s="122" t="s">
        <v>543</v>
      </c>
      <c r="B44" s="109">
        <v>100000</v>
      </c>
      <c r="C44" s="109">
        <f>B44*$C$12</f>
        <v>18166.666666666668</v>
      </c>
      <c r="D44" s="109">
        <f t="shared" si="5"/>
        <v>118166.66666666667</v>
      </c>
      <c r="E44" s="26"/>
      <c r="G44" t="s">
        <v>525</v>
      </c>
    </row>
    <row r="45" spans="1:7">
      <c r="A45" s="122" t="s">
        <v>544</v>
      </c>
      <c r="B45" s="109">
        <v>100000</v>
      </c>
      <c r="C45" s="109">
        <f>B45*$C$12</f>
        <v>18166.666666666668</v>
      </c>
      <c r="D45" s="109">
        <f t="shared" si="5"/>
        <v>118166.66666666667</v>
      </c>
      <c r="E45" s="26"/>
    </row>
    <row r="46" spans="1:7">
      <c r="A46" s="122" t="s">
        <v>545</v>
      </c>
      <c r="B46" s="109">
        <v>85000</v>
      </c>
      <c r="C46" s="109">
        <f>B46*$D$12</f>
        <v>15441.666666666668</v>
      </c>
      <c r="D46" s="109">
        <f t="shared" si="5"/>
        <v>100441.66666666667</v>
      </c>
      <c r="E46" s="26"/>
    </row>
    <row r="47" spans="1:7">
      <c r="A47" s="6" t="s">
        <v>471</v>
      </c>
      <c r="B47" s="109">
        <v>80000</v>
      </c>
      <c r="C47" s="109">
        <f>B47*$D$12</f>
        <v>14533.333333333334</v>
      </c>
      <c r="D47" s="109">
        <f t="shared" si="5"/>
        <v>94533.333333333328</v>
      </c>
      <c r="E47" s="26"/>
      <c r="G47" t="s">
        <v>525</v>
      </c>
    </row>
    <row r="48" spans="1:7">
      <c r="A48" s="6" t="s">
        <v>546</v>
      </c>
      <c r="B48" s="109">
        <v>80000</v>
      </c>
      <c r="C48" s="109">
        <f>B48*$D$12</f>
        <v>14533.333333333334</v>
      </c>
      <c r="D48" s="109">
        <f t="shared" si="5"/>
        <v>94533.333333333328</v>
      </c>
      <c r="E48" s="26"/>
      <c r="G48" t="s">
        <v>524</v>
      </c>
    </row>
    <row r="49" spans="1:12">
      <c r="A49" s="5" t="s">
        <v>526</v>
      </c>
      <c r="B49" s="109">
        <v>80000</v>
      </c>
      <c r="C49" s="109">
        <f>B49*$D$12</f>
        <v>14533.333333333334</v>
      </c>
      <c r="D49" s="109">
        <f t="shared" si="5"/>
        <v>94533.333333333328</v>
      </c>
      <c r="E49" s="26"/>
    </row>
    <row r="50" spans="1:12">
      <c r="A50" s="39" t="s">
        <v>334</v>
      </c>
      <c r="B50" s="109"/>
      <c r="C50" s="109"/>
      <c r="D50" s="109"/>
      <c r="E50" s="26"/>
    </row>
    <row r="51" spans="1:12">
      <c r="A51" s="5" t="s">
        <v>577</v>
      </c>
      <c r="B51" s="109">
        <v>250000</v>
      </c>
      <c r="C51" s="109">
        <f>B51*$B$12</f>
        <v>125000</v>
      </c>
      <c r="D51" s="109">
        <f t="shared" ref="D51:D56" si="6">SUM(B51:C51)</f>
        <v>375000</v>
      </c>
      <c r="E51" s="26"/>
      <c r="G51" s="81" t="s">
        <v>566</v>
      </c>
      <c r="L51" s="81" t="s">
        <v>561</v>
      </c>
    </row>
    <row r="52" spans="1:12">
      <c r="A52" s="5" t="s">
        <v>547</v>
      </c>
      <c r="B52" s="109">
        <v>100000</v>
      </c>
      <c r="C52" s="109">
        <f>B52*$C$12</f>
        <v>18166.666666666668</v>
      </c>
      <c r="D52" s="109">
        <f t="shared" si="6"/>
        <v>118166.66666666667</v>
      </c>
      <c r="E52" s="26"/>
      <c r="G52" t="s">
        <v>524</v>
      </c>
      <c r="L52" s="81" t="s">
        <v>561</v>
      </c>
    </row>
    <row r="53" spans="1:12">
      <c r="A53" s="6" t="s">
        <v>548</v>
      </c>
      <c r="B53" s="109">
        <v>90000</v>
      </c>
      <c r="C53" s="109">
        <f>B53*$C$12</f>
        <v>16350</v>
      </c>
      <c r="D53" s="109">
        <f t="shared" si="6"/>
        <v>106350</v>
      </c>
      <c r="E53" s="26"/>
      <c r="G53" t="s">
        <v>524</v>
      </c>
      <c r="L53" s="81" t="s">
        <v>561</v>
      </c>
    </row>
    <row r="54" spans="1:12">
      <c r="A54" s="5" t="s">
        <v>468</v>
      </c>
      <c r="B54" s="109">
        <v>65000</v>
      </c>
      <c r="C54" s="109">
        <f>B54*$D$12</f>
        <v>11808.333333333334</v>
      </c>
      <c r="D54" s="109">
        <f t="shared" si="6"/>
        <v>76808.333333333328</v>
      </c>
      <c r="E54" s="26"/>
      <c r="G54" t="s">
        <v>524</v>
      </c>
      <c r="L54" s="81" t="s">
        <v>561</v>
      </c>
    </row>
    <row r="55" spans="1:12">
      <c r="A55" s="5" t="s">
        <v>580</v>
      </c>
      <c r="B55" s="109">
        <v>45000</v>
      </c>
      <c r="C55" s="109">
        <f>B55*$B$12</f>
        <v>22500</v>
      </c>
      <c r="D55" s="109">
        <f t="shared" si="6"/>
        <v>67500</v>
      </c>
      <c r="E55" s="26"/>
      <c r="G55" s="81" t="s">
        <v>566</v>
      </c>
      <c r="L55" s="81" t="s">
        <v>561</v>
      </c>
    </row>
    <row r="56" spans="1:12">
      <c r="A56" s="5" t="s">
        <v>549</v>
      </c>
      <c r="B56" s="109">
        <v>50000</v>
      </c>
      <c r="C56" s="109">
        <f>B56*$D$12</f>
        <v>9083.3333333333339</v>
      </c>
      <c r="D56" s="109">
        <f t="shared" si="6"/>
        <v>59083.333333333336</v>
      </c>
      <c r="E56" s="26"/>
      <c r="G56" t="s">
        <v>524</v>
      </c>
      <c r="L56" s="81" t="s">
        <v>561</v>
      </c>
    </row>
    <row r="57" spans="1:12">
      <c r="A57" s="8"/>
      <c r="B57" s="8"/>
      <c r="C57" s="8"/>
      <c r="D57" s="8"/>
      <c r="E57" s="26"/>
    </row>
    <row r="58" spans="1:12">
      <c r="A58" s="23"/>
      <c r="B58" s="24"/>
      <c r="C58" s="24"/>
      <c r="D58" s="24"/>
      <c r="E58" s="26"/>
    </row>
    <row r="59" spans="1:12">
      <c r="A59" s="3" t="s">
        <v>550</v>
      </c>
      <c r="B59" s="4"/>
      <c r="C59" s="4"/>
      <c r="D59" s="4"/>
      <c r="E59" s="26"/>
    </row>
    <row r="60" spans="1:12">
      <c r="A60" s="9" t="s">
        <v>551</v>
      </c>
      <c r="B60" s="4">
        <v>50</v>
      </c>
      <c r="C60" s="12" t="s">
        <v>552</v>
      </c>
      <c r="D60" s="4"/>
      <c r="E60" s="26"/>
    </row>
    <row r="61" spans="1:12">
      <c r="A61" s="9" t="s">
        <v>553</v>
      </c>
      <c r="B61" s="4">
        <v>4</v>
      </c>
      <c r="C61" s="12" t="s">
        <v>552</v>
      </c>
      <c r="D61" s="4"/>
      <c r="E61" s="26"/>
    </row>
    <row r="62" spans="1:12">
      <c r="A62" s="9" t="s">
        <v>554</v>
      </c>
      <c r="B62" s="4">
        <v>1</v>
      </c>
      <c r="C62" s="12" t="s">
        <v>555</v>
      </c>
      <c r="D62" s="4"/>
      <c r="E62" s="26"/>
    </row>
    <row r="63" spans="1:12">
      <c r="A63" s="9" t="s">
        <v>556</v>
      </c>
      <c r="B63" s="196">
        <v>2</v>
      </c>
      <c r="C63" s="90" t="s">
        <v>552</v>
      </c>
      <c r="D63" s="4"/>
      <c r="E63" s="26"/>
    </row>
    <row r="64" spans="1:12">
      <c r="A64" s="9" t="s">
        <v>557</v>
      </c>
      <c r="B64" s="4">
        <f>B60-SUM(B61:B63)</f>
        <v>43</v>
      </c>
      <c r="C64" s="90" t="s">
        <v>552</v>
      </c>
      <c r="D64" s="4"/>
      <c r="E64" s="26"/>
    </row>
    <row r="65" spans="1:5">
      <c r="A65" s="9" t="s">
        <v>550</v>
      </c>
      <c r="B65" s="207">
        <f>B60/B64-1</f>
        <v>0.16279069767441867</v>
      </c>
      <c r="C65" s="90" t="s">
        <v>558</v>
      </c>
      <c r="D65" s="4"/>
      <c r="E65" s="26"/>
    </row>
    <row r="66" spans="1:5">
      <c r="A66" s="48"/>
      <c r="B66" s="34"/>
      <c r="C66" s="34"/>
      <c r="D66" s="34"/>
      <c r="E66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4"/>
  <sheetViews>
    <sheetView topLeftCell="A224" zoomScale="85" workbookViewId="0">
      <selection activeCell="B224" sqref="B224"/>
    </sheetView>
  </sheetViews>
  <sheetFormatPr defaultRowHeight="12.75"/>
  <cols>
    <col min="1" max="1" width="30.7109375" customWidth="1"/>
    <col min="2" max="2" width="10.28515625" bestFit="1" customWidth="1"/>
    <col min="5" max="5" width="11.28515625" bestFit="1" customWidth="1"/>
    <col min="6" max="7" width="11.28515625" customWidth="1"/>
  </cols>
  <sheetData>
    <row r="1" spans="1:11">
      <c r="A1" s="13" t="s">
        <v>0</v>
      </c>
      <c r="B1" s="14"/>
      <c r="C1" s="14"/>
      <c r="D1" s="14"/>
      <c r="E1" s="14"/>
      <c r="F1" s="14"/>
      <c r="G1" s="14"/>
      <c r="H1" s="14"/>
      <c r="I1" s="15"/>
    </row>
    <row r="2" spans="1:11">
      <c r="A2" s="16" t="str">
        <f>Title!$F$10</f>
        <v>ARTHUR RIVER MAGNESITE PROJECT</v>
      </c>
      <c r="B2" s="17"/>
      <c r="C2" s="17"/>
      <c r="D2" s="17"/>
      <c r="E2" s="17"/>
      <c r="F2" s="17"/>
      <c r="G2" s="17"/>
      <c r="H2" s="17"/>
      <c r="I2" s="18"/>
    </row>
    <row r="3" spans="1:11">
      <c r="A3" s="16" t="str">
        <f>Title!$F$12</f>
        <v>ORDER OF MAGNITUDE COST STUDY: CALCINE PRODUCTION ONLY</v>
      </c>
      <c r="B3" s="17"/>
      <c r="C3" s="17"/>
      <c r="D3" s="17"/>
      <c r="E3" s="17"/>
      <c r="F3" s="17"/>
      <c r="G3" s="17"/>
      <c r="H3" s="17"/>
      <c r="I3" s="18"/>
    </row>
    <row r="4" spans="1:11">
      <c r="A4" s="19"/>
      <c r="B4" s="17"/>
      <c r="C4" s="17"/>
      <c r="D4" s="17"/>
      <c r="E4" s="17"/>
      <c r="F4" s="17"/>
      <c r="G4" s="17"/>
      <c r="H4" s="17" t="str">
        <f>Title!$F$19</f>
        <v>3 October 2011</v>
      </c>
      <c r="I4" s="18"/>
    </row>
    <row r="5" spans="1:11">
      <c r="A5" s="20" t="s">
        <v>442</v>
      </c>
      <c r="B5" s="21"/>
      <c r="C5" s="21"/>
      <c r="D5" s="21"/>
      <c r="E5" s="21"/>
      <c r="F5" s="21"/>
      <c r="G5" s="21"/>
      <c r="H5" s="21"/>
      <c r="I5" s="22"/>
    </row>
    <row r="6" spans="1:11">
      <c r="A6" s="30"/>
      <c r="B6" s="10"/>
      <c r="C6" s="4"/>
      <c r="D6" s="10"/>
      <c r="E6" s="4"/>
      <c r="F6" s="4"/>
      <c r="G6" s="4"/>
      <c r="H6" s="4"/>
      <c r="I6" s="26"/>
    </row>
    <row r="7" spans="1:11">
      <c r="A7" s="3"/>
      <c r="B7" s="10"/>
      <c r="C7" s="4"/>
      <c r="D7" s="10"/>
      <c r="E7" s="4"/>
      <c r="F7" s="4"/>
      <c r="G7" s="4"/>
      <c r="H7" s="4"/>
      <c r="I7" s="26"/>
    </row>
    <row r="8" spans="1:11">
      <c r="A8" s="170"/>
      <c r="B8" s="186" t="s">
        <v>373</v>
      </c>
      <c r="C8" s="171" t="s">
        <v>311</v>
      </c>
      <c r="D8" s="186" t="s">
        <v>374</v>
      </c>
      <c r="E8" s="171" t="s">
        <v>375</v>
      </c>
      <c r="F8" s="186" t="s">
        <v>88</v>
      </c>
      <c r="G8" s="171" t="s">
        <v>89</v>
      </c>
      <c r="H8" s="4"/>
      <c r="I8" s="26"/>
    </row>
    <row r="9" spans="1:11">
      <c r="A9" s="39"/>
      <c r="B9" s="11"/>
      <c r="C9" s="6"/>
      <c r="D9" s="165"/>
      <c r="E9" s="109"/>
      <c r="F9" s="109"/>
      <c r="G9" s="109"/>
      <c r="H9" s="4"/>
      <c r="I9" s="26"/>
    </row>
    <row r="10" spans="1:11">
      <c r="A10" s="39"/>
      <c r="B10" s="11"/>
      <c r="C10" s="6"/>
      <c r="D10" s="165"/>
      <c r="E10" s="109"/>
      <c r="F10" s="109"/>
      <c r="G10" s="109"/>
      <c r="H10" s="4"/>
      <c r="I10" s="26"/>
    </row>
    <row r="11" spans="1:11">
      <c r="A11" s="39"/>
      <c r="B11" s="11"/>
      <c r="C11" s="6"/>
      <c r="D11" s="165"/>
      <c r="E11" s="109"/>
      <c r="F11" s="109"/>
      <c r="G11" s="109"/>
      <c r="H11" s="4"/>
      <c r="I11" s="26"/>
    </row>
    <row r="12" spans="1:11">
      <c r="A12" s="39" t="s">
        <v>745</v>
      </c>
      <c r="B12" s="11"/>
      <c r="C12" s="6"/>
      <c r="D12" s="165"/>
      <c r="E12" s="109"/>
      <c r="F12" s="109"/>
      <c r="G12" s="109"/>
      <c r="H12" s="4"/>
      <c r="I12" s="26"/>
    </row>
    <row r="13" spans="1:11">
      <c r="A13" s="5" t="s">
        <v>376</v>
      </c>
      <c r="B13" s="11"/>
      <c r="C13" s="6"/>
      <c r="D13" s="165"/>
      <c r="E13" s="109"/>
      <c r="F13" s="109"/>
      <c r="G13" s="109"/>
      <c r="H13" s="4"/>
      <c r="I13" s="26"/>
    </row>
    <row r="14" spans="1:11">
      <c r="A14" s="5" t="s">
        <v>378</v>
      </c>
      <c r="B14" s="11">
        <v>25</v>
      </c>
      <c r="C14" s="139" t="s">
        <v>387</v>
      </c>
      <c r="D14" s="109">
        <v>4000</v>
      </c>
      <c r="E14" s="109">
        <f>B14*D14</f>
        <v>100000</v>
      </c>
      <c r="F14" s="109"/>
      <c r="G14" s="109">
        <f t="shared" ref="G14:G15" si="0">E14</f>
        <v>100000</v>
      </c>
      <c r="H14" s="4"/>
      <c r="I14" s="26"/>
      <c r="K14" s="81"/>
    </row>
    <row r="15" spans="1:11">
      <c r="A15" s="5" t="s">
        <v>379</v>
      </c>
      <c r="B15" s="11"/>
      <c r="C15" s="189" t="s">
        <v>381</v>
      </c>
      <c r="D15" s="165"/>
      <c r="E15" s="109">
        <v>300000</v>
      </c>
      <c r="F15" s="109"/>
      <c r="G15" s="109">
        <f t="shared" si="0"/>
        <v>300000</v>
      </c>
      <c r="H15" s="4"/>
      <c r="I15" s="26"/>
      <c r="K15" s="81"/>
    </row>
    <row r="16" spans="1:11">
      <c r="A16" s="5" t="s">
        <v>386</v>
      </c>
      <c r="B16" s="11"/>
      <c r="C16" s="189"/>
      <c r="D16" s="165"/>
      <c r="E16" s="109">
        <f>SUM(E14:E15)</f>
        <v>400000</v>
      </c>
      <c r="F16" s="109">
        <f t="shared" ref="F16:G16" si="1">SUM(F14:F15)</f>
        <v>0</v>
      </c>
      <c r="G16" s="109">
        <f t="shared" si="1"/>
        <v>400000</v>
      </c>
      <c r="H16" s="4"/>
      <c r="I16" s="26"/>
      <c r="K16" s="81"/>
    </row>
    <row r="17" spans="1:11">
      <c r="A17" s="5" t="s">
        <v>377</v>
      </c>
      <c r="B17" s="11"/>
      <c r="C17" s="189"/>
      <c r="D17" s="165"/>
      <c r="E17" s="109"/>
      <c r="F17" s="109"/>
      <c r="G17" s="109"/>
      <c r="H17" s="4"/>
      <c r="I17" s="26"/>
    </row>
    <row r="18" spans="1:11">
      <c r="A18" s="5" t="s">
        <v>386</v>
      </c>
      <c r="B18" s="11"/>
      <c r="C18" s="6"/>
      <c r="D18" s="165"/>
      <c r="E18" s="109">
        <v>1000000</v>
      </c>
      <c r="F18" s="109">
        <v>0</v>
      </c>
      <c r="G18" s="109">
        <f>E18</f>
        <v>1000000</v>
      </c>
      <c r="H18" s="4"/>
      <c r="I18" s="26"/>
    </row>
    <row r="19" spans="1:11">
      <c r="A19" s="5" t="s">
        <v>380</v>
      </c>
      <c r="B19" s="11"/>
      <c r="C19" s="6"/>
      <c r="D19" s="165"/>
      <c r="E19" s="109"/>
      <c r="F19" s="109"/>
      <c r="G19" s="109"/>
      <c r="H19" s="4"/>
      <c r="I19" s="26"/>
    </row>
    <row r="20" spans="1:11">
      <c r="A20" s="5" t="s">
        <v>383</v>
      </c>
      <c r="B20" s="11"/>
      <c r="C20" s="189" t="s">
        <v>381</v>
      </c>
      <c r="D20" s="165"/>
      <c r="E20" s="109">
        <v>15000000</v>
      </c>
      <c r="F20" s="109"/>
      <c r="G20" s="109">
        <f>E20</f>
        <v>15000000</v>
      </c>
      <c r="H20" s="4"/>
      <c r="I20" s="26"/>
      <c r="K20" s="81"/>
    </row>
    <row r="21" spans="1:11">
      <c r="A21" s="5" t="s">
        <v>384</v>
      </c>
      <c r="B21" s="11"/>
      <c r="C21" s="189" t="s">
        <v>381</v>
      </c>
      <c r="D21" s="165"/>
      <c r="E21" s="109">
        <v>1200000</v>
      </c>
      <c r="F21" s="109"/>
      <c r="G21" s="109">
        <f>E21</f>
        <v>1200000</v>
      </c>
      <c r="H21" s="4"/>
      <c r="I21" s="26"/>
      <c r="K21" s="81"/>
    </row>
    <row r="22" spans="1:11">
      <c r="A22" s="5" t="s">
        <v>385</v>
      </c>
      <c r="B22" s="11"/>
      <c r="C22" s="189" t="s">
        <v>381</v>
      </c>
      <c r="D22" s="165"/>
      <c r="E22" s="109">
        <v>600000</v>
      </c>
      <c r="F22" s="109"/>
      <c r="G22" s="109">
        <f>E22</f>
        <v>600000</v>
      </c>
      <c r="H22" s="4"/>
      <c r="I22" s="26"/>
      <c r="K22" s="81"/>
    </row>
    <row r="23" spans="1:11">
      <c r="A23" s="5" t="s">
        <v>386</v>
      </c>
      <c r="B23" s="11"/>
      <c r="C23" s="6"/>
      <c r="D23" s="165"/>
      <c r="E23" s="109">
        <f>SUM(E20:E22)</f>
        <v>16800000</v>
      </c>
      <c r="F23" s="109">
        <f>SUM(F20:F22)</f>
        <v>0</v>
      </c>
      <c r="G23" s="109">
        <f>SUM(G20:G22)</f>
        <v>16800000</v>
      </c>
      <c r="H23" s="4"/>
      <c r="I23" s="26"/>
    </row>
    <row r="24" spans="1:11">
      <c r="A24" s="5" t="s">
        <v>5</v>
      </c>
      <c r="B24" s="11"/>
      <c r="C24" s="6"/>
      <c r="D24" s="165"/>
      <c r="E24" s="109"/>
      <c r="F24" s="109"/>
      <c r="G24" s="109"/>
      <c r="H24" s="4"/>
      <c r="I24" s="26"/>
    </row>
    <row r="25" spans="1:11">
      <c r="A25" s="190" t="s">
        <v>388</v>
      </c>
      <c r="B25" s="191"/>
      <c r="C25" s="192"/>
      <c r="D25" s="193"/>
      <c r="E25" s="107">
        <f>E16+E18+E23</f>
        <v>18200000</v>
      </c>
      <c r="F25" s="107">
        <f t="shared" ref="F25:G25" si="2">F16+F18+F23</f>
        <v>0</v>
      </c>
      <c r="G25" s="107">
        <f t="shared" si="2"/>
        <v>18200000</v>
      </c>
      <c r="H25" s="4"/>
      <c r="I25" s="26"/>
    </row>
    <row r="26" spans="1:11">
      <c r="A26" s="39" t="s">
        <v>299</v>
      </c>
      <c r="B26" s="11"/>
      <c r="C26" s="6"/>
      <c r="D26" s="165"/>
      <c r="E26" s="109"/>
      <c r="F26" s="109"/>
      <c r="G26" s="109"/>
      <c r="H26" s="4"/>
      <c r="I26" s="26"/>
    </row>
    <row r="27" spans="1:11">
      <c r="A27" s="5" t="s">
        <v>376</v>
      </c>
      <c r="B27" s="11"/>
      <c r="C27" s="6"/>
      <c r="D27" s="165"/>
      <c r="E27" s="109"/>
      <c r="F27" s="109"/>
      <c r="G27" s="109"/>
      <c r="H27" s="4"/>
      <c r="I27" s="26"/>
    </row>
    <row r="28" spans="1:11">
      <c r="A28" s="5" t="s">
        <v>378</v>
      </c>
      <c r="B28" s="11">
        <v>10</v>
      </c>
      <c r="C28" s="139" t="s">
        <v>387</v>
      </c>
      <c r="D28" s="109">
        <v>4000</v>
      </c>
      <c r="E28" s="109">
        <f>B28*D28</f>
        <v>40000</v>
      </c>
      <c r="F28" s="109"/>
      <c r="G28" s="109">
        <f t="shared" ref="G28:G29" si="3">E28</f>
        <v>40000</v>
      </c>
      <c r="H28" s="4"/>
      <c r="I28" s="26"/>
    </row>
    <row r="29" spans="1:11">
      <c r="A29" s="5" t="s">
        <v>390</v>
      </c>
      <c r="B29" s="11">
        <v>10000</v>
      </c>
      <c r="C29" s="189" t="s">
        <v>391</v>
      </c>
      <c r="D29" s="108">
        <v>5</v>
      </c>
      <c r="E29" s="109">
        <f>B29*D29</f>
        <v>50000</v>
      </c>
      <c r="F29" s="109"/>
      <c r="G29" s="109">
        <f t="shared" si="3"/>
        <v>50000</v>
      </c>
      <c r="H29" s="4"/>
      <c r="I29" s="26"/>
    </row>
    <row r="30" spans="1:11">
      <c r="A30" s="5" t="s">
        <v>392</v>
      </c>
      <c r="B30" s="11">
        <v>10000</v>
      </c>
      <c r="C30" s="189" t="s">
        <v>391</v>
      </c>
      <c r="D30" s="108">
        <v>5</v>
      </c>
      <c r="E30" s="109">
        <f>B30*D30</f>
        <v>50000</v>
      </c>
      <c r="F30" s="109"/>
      <c r="G30" s="109">
        <f t="shared" ref="G30" si="4">E30</f>
        <v>50000</v>
      </c>
      <c r="H30" s="4"/>
      <c r="I30" s="26"/>
    </row>
    <row r="31" spans="1:11">
      <c r="A31" s="5" t="s">
        <v>393</v>
      </c>
      <c r="B31" s="11">
        <v>30000</v>
      </c>
      <c r="C31" s="189" t="s">
        <v>391</v>
      </c>
      <c r="D31" s="108">
        <v>8</v>
      </c>
      <c r="E31" s="109">
        <f>B31*D31</f>
        <v>240000</v>
      </c>
      <c r="F31" s="109"/>
      <c r="G31" s="109">
        <f t="shared" ref="G31" si="5">E31</f>
        <v>240000</v>
      </c>
      <c r="H31" s="4"/>
      <c r="I31" s="26"/>
    </row>
    <row r="32" spans="1:11">
      <c r="A32" s="5" t="s">
        <v>394</v>
      </c>
      <c r="B32" s="11">
        <v>120000</v>
      </c>
      <c r="C32" s="189" t="s">
        <v>391</v>
      </c>
      <c r="D32" s="108">
        <v>3</v>
      </c>
      <c r="E32" s="109">
        <f>B32*D32</f>
        <v>360000</v>
      </c>
      <c r="F32" s="109"/>
      <c r="G32" s="109">
        <f t="shared" ref="G32" si="6">E32</f>
        <v>360000</v>
      </c>
      <c r="H32" s="4"/>
      <c r="I32" s="26"/>
    </row>
    <row r="33" spans="1:11">
      <c r="A33" s="5" t="s">
        <v>386</v>
      </c>
      <c r="B33" s="11"/>
      <c r="C33" s="189"/>
      <c r="D33" s="165"/>
      <c r="E33" s="109">
        <f>SUM(E28:E32)</f>
        <v>740000</v>
      </c>
      <c r="F33" s="109">
        <f t="shared" ref="F33:G33" si="7">SUM(F28:F32)</f>
        <v>0</v>
      </c>
      <c r="G33" s="109">
        <f t="shared" si="7"/>
        <v>740000</v>
      </c>
      <c r="H33" s="4"/>
      <c r="I33" s="26"/>
    </row>
    <row r="34" spans="1:11">
      <c r="A34" s="5" t="s">
        <v>377</v>
      </c>
      <c r="B34" s="11"/>
      <c r="C34" s="6"/>
      <c r="D34" s="165"/>
      <c r="E34" s="109"/>
      <c r="F34" s="109"/>
      <c r="G34" s="109"/>
      <c r="H34" s="4"/>
      <c r="I34" s="26"/>
    </row>
    <row r="35" spans="1:11">
      <c r="A35" s="5" t="s">
        <v>386</v>
      </c>
      <c r="B35" s="11"/>
      <c r="C35" s="6"/>
      <c r="D35" s="165"/>
      <c r="E35" s="109">
        <v>80000</v>
      </c>
      <c r="F35" s="109">
        <v>0</v>
      </c>
      <c r="G35" s="109">
        <f>E35</f>
        <v>80000</v>
      </c>
      <c r="H35" s="4"/>
      <c r="I35" s="26"/>
    </row>
    <row r="36" spans="1:11">
      <c r="A36" s="5" t="s">
        <v>395</v>
      </c>
      <c r="B36" s="11"/>
      <c r="C36" s="6"/>
      <c r="D36" s="165"/>
      <c r="E36" s="109"/>
      <c r="F36" s="109"/>
      <c r="G36" s="109"/>
      <c r="H36" s="4"/>
      <c r="I36" s="26"/>
    </row>
    <row r="37" spans="1:11">
      <c r="A37" s="5" t="s">
        <v>386</v>
      </c>
      <c r="B37" s="11"/>
      <c r="C37" s="6"/>
      <c r="D37" s="165"/>
      <c r="E37" s="109">
        <v>120000</v>
      </c>
      <c r="F37" s="109">
        <v>0</v>
      </c>
      <c r="G37" s="109">
        <f>E37</f>
        <v>120000</v>
      </c>
      <c r="H37" s="4"/>
      <c r="I37" s="26"/>
    </row>
    <row r="38" spans="1:11">
      <c r="A38" s="5" t="s">
        <v>396</v>
      </c>
      <c r="B38" s="11"/>
      <c r="C38" s="6"/>
      <c r="D38" s="165"/>
      <c r="E38" s="109"/>
      <c r="F38" s="109"/>
      <c r="G38" s="109"/>
      <c r="H38" s="4"/>
      <c r="I38" s="26"/>
    </row>
    <row r="39" spans="1:11">
      <c r="A39" s="5" t="s">
        <v>386</v>
      </c>
      <c r="B39" s="11"/>
      <c r="C39" s="6"/>
      <c r="D39" s="165"/>
      <c r="E39" s="109">
        <v>120000</v>
      </c>
      <c r="F39" s="109">
        <v>0</v>
      </c>
      <c r="G39" s="109">
        <f>E39</f>
        <v>120000</v>
      </c>
      <c r="H39" s="4"/>
      <c r="I39" s="26"/>
    </row>
    <row r="40" spans="1:11">
      <c r="A40" s="5" t="s">
        <v>5</v>
      </c>
      <c r="B40" s="11"/>
      <c r="C40" s="6"/>
      <c r="D40" s="165"/>
      <c r="E40" s="109"/>
      <c r="F40" s="109"/>
      <c r="G40" s="109"/>
      <c r="H40" s="4"/>
      <c r="I40" s="26"/>
    </row>
    <row r="41" spans="1:11">
      <c r="A41" s="190" t="s">
        <v>397</v>
      </c>
      <c r="B41" s="191"/>
      <c r="C41" s="192"/>
      <c r="D41" s="193"/>
      <c r="E41" s="107">
        <f>E33+E35+E37+E39</f>
        <v>1060000</v>
      </c>
      <c r="F41" s="107">
        <f t="shared" ref="F41:G41" si="8">F33+F35+F37+F39</f>
        <v>0</v>
      </c>
      <c r="G41" s="107">
        <f t="shared" si="8"/>
        <v>1060000</v>
      </c>
      <c r="H41" s="4"/>
      <c r="I41" s="26"/>
    </row>
    <row r="42" spans="1:11">
      <c r="A42" s="39" t="s">
        <v>300</v>
      </c>
      <c r="B42" s="11"/>
      <c r="C42" s="6"/>
      <c r="D42" s="165"/>
      <c r="E42" s="109"/>
      <c r="F42" s="109"/>
      <c r="G42" s="109"/>
      <c r="H42" s="4"/>
      <c r="I42" s="26"/>
    </row>
    <row r="43" spans="1:11">
      <c r="A43" s="5" t="s">
        <v>398</v>
      </c>
      <c r="B43" s="11"/>
      <c r="C43" s="189" t="s">
        <v>381</v>
      </c>
      <c r="D43" s="165"/>
      <c r="E43" s="109">
        <v>500000</v>
      </c>
      <c r="F43" s="109"/>
      <c r="G43" s="109">
        <f t="shared" ref="G43:G51" si="9">E43</f>
        <v>500000</v>
      </c>
      <c r="H43" s="4"/>
      <c r="I43" s="26"/>
    </row>
    <row r="44" spans="1:11">
      <c r="A44" s="5" t="s">
        <v>399</v>
      </c>
      <c r="B44" s="11"/>
      <c r="C44" s="189" t="s">
        <v>381</v>
      </c>
      <c r="D44" s="165"/>
      <c r="E44" s="109">
        <v>300000</v>
      </c>
      <c r="F44" s="109"/>
      <c r="G44" s="109">
        <f t="shared" si="9"/>
        <v>300000</v>
      </c>
      <c r="H44" s="4"/>
      <c r="I44" s="26"/>
    </row>
    <row r="45" spans="1:11">
      <c r="A45" s="5" t="s">
        <v>413</v>
      </c>
      <c r="B45" s="11"/>
      <c r="C45" s="189" t="s">
        <v>381</v>
      </c>
      <c r="D45" s="165"/>
      <c r="E45" s="109">
        <v>300000</v>
      </c>
      <c r="F45" s="109"/>
      <c r="G45" s="109">
        <f t="shared" si="9"/>
        <v>300000</v>
      </c>
      <c r="H45" s="4"/>
      <c r="I45" s="26"/>
    </row>
    <row r="46" spans="1:11">
      <c r="A46" s="5" t="s">
        <v>400</v>
      </c>
      <c r="B46" s="11"/>
      <c r="C46" s="189" t="s">
        <v>381</v>
      </c>
      <c r="D46" s="165"/>
      <c r="E46" s="109">
        <v>400000</v>
      </c>
      <c r="F46" s="109"/>
      <c r="G46" s="109">
        <f t="shared" si="9"/>
        <v>400000</v>
      </c>
      <c r="H46" s="4"/>
      <c r="I46" s="26"/>
    </row>
    <row r="47" spans="1:11">
      <c r="A47" s="5" t="s">
        <v>403</v>
      </c>
      <c r="B47" s="11"/>
      <c r="C47" s="189" t="s">
        <v>381</v>
      </c>
      <c r="D47" s="165"/>
      <c r="E47" s="109">
        <v>300000</v>
      </c>
      <c r="F47" s="109"/>
      <c r="G47" s="109">
        <f t="shared" si="9"/>
        <v>300000</v>
      </c>
      <c r="H47" s="4"/>
      <c r="I47" s="26"/>
      <c r="K47" t="s">
        <v>488</v>
      </c>
    </row>
    <row r="48" spans="1:11">
      <c r="A48" s="5" t="s">
        <v>412</v>
      </c>
      <c r="B48" s="11"/>
      <c r="C48" s="189" t="s">
        <v>381</v>
      </c>
      <c r="D48" s="165"/>
      <c r="E48" s="109">
        <v>200000</v>
      </c>
      <c r="F48" s="109"/>
      <c r="G48" s="109">
        <f t="shared" si="9"/>
        <v>200000</v>
      </c>
      <c r="H48" s="4"/>
      <c r="I48" s="26"/>
    </row>
    <row r="49" spans="1:11">
      <c r="A49" s="5" t="s">
        <v>401</v>
      </c>
      <c r="B49" s="11"/>
      <c r="C49" s="189" t="s">
        <v>381</v>
      </c>
      <c r="D49" s="165"/>
      <c r="E49" s="109">
        <v>100000</v>
      </c>
      <c r="F49" s="109"/>
      <c r="G49" s="109">
        <f t="shared" si="9"/>
        <v>100000</v>
      </c>
      <c r="H49" s="4"/>
      <c r="I49" s="26"/>
    </row>
    <row r="50" spans="1:11">
      <c r="A50" s="5" t="s">
        <v>402</v>
      </c>
      <c r="B50" s="11"/>
      <c r="C50" s="189" t="s">
        <v>381</v>
      </c>
      <c r="D50" s="165"/>
      <c r="E50" s="109">
        <v>100000</v>
      </c>
      <c r="F50" s="109"/>
      <c r="G50" s="109">
        <f t="shared" si="9"/>
        <v>100000</v>
      </c>
      <c r="H50" s="4"/>
      <c r="I50" s="26"/>
    </row>
    <row r="51" spans="1:11">
      <c r="A51" s="5" t="s">
        <v>415</v>
      </c>
      <c r="B51" s="11"/>
      <c r="C51" s="189" t="s">
        <v>381</v>
      </c>
      <c r="D51" s="165"/>
      <c r="E51" s="109">
        <v>100000</v>
      </c>
      <c r="F51" s="109"/>
      <c r="G51" s="109">
        <f t="shared" si="9"/>
        <v>100000</v>
      </c>
      <c r="H51" s="4"/>
      <c r="I51" s="26"/>
    </row>
    <row r="52" spans="1:11">
      <c r="A52" s="5" t="s">
        <v>414</v>
      </c>
      <c r="B52" s="11"/>
      <c r="C52" s="189" t="s">
        <v>381</v>
      </c>
      <c r="D52" s="165"/>
      <c r="E52" s="109">
        <v>250000</v>
      </c>
      <c r="F52" s="109"/>
      <c r="G52" s="109">
        <f t="shared" ref="G52" si="10">E52</f>
        <v>250000</v>
      </c>
      <c r="H52" s="4"/>
      <c r="I52" s="26"/>
    </row>
    <row r="53" spans="1:11">
      <c r="A53" s="5" t="s">
        <v>434</v>
      </c>
      <c r="B53" s="11"/>
      <c r="C53" s="189"/>
      <c r="D53" s="165"/>
      <c r="E53" s="109"/>
      <c r="F53" s="109"/>
      <c r="G53" s="109"/>
      <c r="H53" s="4"/>
      <c r="I53" s="26"/>
    </row>
    <row r="54" spans="1:11">
      <c r="A54" s="5" t="s">
        <v>435</v>
      </c>
      <c r="B54" s="11">
        <v>4000</v>
      </c>
      <c r="C54" s="139" t="s">
        <v>436</v>
      </c>
      <c r="D54" s="109">
        <v>110</v>
      </c>
      <c r="E54" s="109">
        <f>B54*D54</f>
        <v>440000</v>
      </c>
      <c r="F54" s="109">
        <f>E54*1</f>
        <v>440000</v>
      </c>
      <c r="G54" s="109">
        <f>E54-F54</f>
        <v>0</v>
      </c>
      <c r="H54" s="4"/>
      <c r="I54" s="26"/>
    </row>
    <row r="55" spans="1:11">
      <c r="A55" s="5" t="s">
        <v>437</v>
      </c>
      <c r="B55" s="11">
        <v>2</v>
      </c>
      <c r="C55" s="189" t="s">
        <v>438</v>
      </c>
      <c r="D55" s="109">
        <v>25000</v>
      </c>
      <c r="E55" s="109">
        <f>B55*D55</f>
        <v>50000</v>
      </c>
      <c r="F55" s="109">
        <f>E55*1</f>
        <v>50000</v>
      </c>
      <c r="G55" s="109">
        <f>E55-F55</f>
        <v>0</v>
      </c>
      <c r="H55" s="4"/>
      <c r="I55" s="26"/>
    </row>
    <row r="56" spans="1:11">
      <c r="A56" s="5" t="s">
        <v>439</v>
      </c>
      <c r="B56" s="11"/>
      <c r="C56" s="189" t="s">
        <v>381</v>
      </c>
      <c r="D56" s="109"/>
      <c r="E56" s="109"/>
      <c r="F56" s="109"/>
      <c r="G56" s="109"/>
      <c r="H56" s="4"/>
      <c r="I56" s="26"/>
    </row>
    <row r="57" spans="1:11">
      <c r="A57" s="5" t="s">
        <v>386</v>
      </c>
      <c r="B57" s="11"/>
      <c r="C57" s="189"/>
      <c r="D57" s="165"/>
      <c r="E57" s="109">
        <f>SUM(E54:E56)</f>
        <v>490000</v>
      </c>
      <c r="F57" s="109">
        <f t="shared" ref="F57" si="11">SUM(F54:F56)</f>
        <v>490000</v>
      </c>
      <c r="G57" s="109">
        <f t="shared" ref="G57" si="12">SUM(G54:G56)</f>
        <v>0</v>
      </c>
      <c r="H57" s="4"/>
      <c r="I57" s="26"/>
    </row>
    <row r="58" spans="1:11">
      <c r="A58" s="5" t="s">
        <v>5</v>
      </c>
      <c r="B58" s="11"/>
      <c r="C58" s="6"/>
      <c r="D58" s="165"/>
      <c r="E58" s="109"/>
      <c r="F58" s="109"/>
      <c r="G58" s="109"/>
      <c r="H58" s="4"/>
      <c r="I58" s="26"/>
    </row>
    <row r="59" spans="1:11">
      <c r="A59" s="190" t="s">
        <v>404</v>
      </c>
      <c r="B59" s="191"/>
      <c r="C59" s="192"/>
      <c r="D59" s="193"/>
      <c r="E59" s="107">
        <f>E43+E44+E45+E46+E47+E48+E49+E50+E51+E52+E57</f>
        <v>3040000</v>
      </c>
      <c r="F59" s="107">
        <f t="shared" ref="F59:G59" si="13">F43+F44+F45+F46+F47+F48+F49+F50+F51+F52+F57</f>
        <v>490000</v>
      </c>
      <c r="G59" s="107">
        <f t="shared" si="13"/>
        <v>2550000</v>
      </c>
      <c r="H59" s="4"/>
      <c r="I59" s="26"/>
    </row>
    <row r="60" spans="1:11">
      <c r="A60" s="39" t="s">
        <v>301</v>
      </c>
      <c r="B60" s="11"/>
      <c r="C60" s="6"/>
      <c r="D60" s="165"/>
      <c r="E60" s="109"/>
      <c r="F60" s="109"/>
      <c r="G60" s="109"/>
      <c r="H60" s="4"/>
      <c r="I60" s="26"/>
    </row>
    <row r="61" spans="1:11">
      <c r="A61" s="5" t="s">
        <v>563</v>
      </c>
      <c r="B61" s="11"/>
      <c r="C61" s="6"/>
      <c r="D61" s="165"/>
      <c r="E61" s="109"/>
      <c r="F61" s="109"/>
      <c r="G61" s="109"/>
      <c r="H61" s="4"/>
      <c r="I61" s="26"/>
    </row>
    <row r="62" spans="1:11">
      <c r="A62" s="5" t="s">
        <v>405</v>
      </c>
      <c r="B62" s="11">
        <v>0</v>
      </c>
      <c r="C62" s="139" t="s">
        <v>410</v>
      </c>
      <c r="D62" s="165"/>
      <c r="E62" s="109">
        <f>B62*D62</f>
        <v>0</v>
      </c>
      <c r="F62" s="109">
        <f>E62</f>
        <v>0</v>
      </c>
      <c r="G62" s="109">
        <f>E62-F62</f>
        <v>0</v>
      </c>
      <c r="H62" s="4"/>
      <c r="I62" s="26"/>
      <c r="K62" s="81" t="s">
        <v>411</v>
      </c>
    </row>
    <row r="63" spans="1:11">
      <c r="A63" s="5" t="s">
        <v>489</v>
      </c>
      <c r="B63" s="11">
        <v>9</v>
      </c>
      <c r="C63" s="139" t="s">
        <v>410</v>
      </c>
      <c r="D63" s="109">
        <v>115000</v>
      </c>
      <c r="E63" s="109">
        <f>B63*D63</f>
        <v>1035000</v>
      </c>
      <c r="F63" s="109">
        <f>E63</f>
        <v>1035000</v>
      </c>
      <c r="G63" s="109">
        <f>E63-F63</f>
        <v>0</v>
      </c>
      <c r="H63" s="4"/>
      <c r="I63" s="26"/>
      <c r="K63" t="s">
        <v>488</v>
      </c>
    </row>
    <row r="64" spans="1:11">
      <c r="A64" s="5" t="s">
        <v>490</v>
      </c>
      <c r="B64" s="11">
        <v>4</v>
      </c>
      <c r="C64" s="139" t="s">
        <v>410</v>
      </c>
      <c r="D64" s="109">
        <v>150000</v>
      </c>
      <c r="E64" s="109">
        <f>B64*D64</f>
        <v>600000</v>
      </c>
      <c r="F64" s="109">
        <f>E64</f>
        <v>600000</v>
      </c>
      <c r="G64" s="109">
        <f>E64-F64</f>
        <v>0</v>
      </c>
      <c r="H64" s="4"/>
      <c r="I64" s="26"/>
      <c r="K64" t="s">
        <v>488</v>
      </c>
    </row>
    <row r="65" spans="1:11">
      <c r="A65" s="5" t="s">
        <v>386</v>
      </c>
      <c r="B65" s="11"/>
      <c r="C65" s="6"/>
      <c r="D65" s="165"/>
      <c r="E65" s="109">
        <f>SUM(E62:E64)</f>
        <v>1635000</v>
      </c>
      <c r="F65" s="109">
        <f t="shared" ref="F65:G65" si="14">SUM(F62:F64)</f>
        <v>1635000</v>
      </c>
      <c r="G65" s="109">
        <f t="shared" si="14"/>
        <v>0</v>
      </c>
      <c r="H65" s="4"/>
      <c r="I65" s="26"/>
    </row>
    <row r="66" spans="1:11">
      <c r="A66" s="5" t="s">
        <v>406</v>
      </c>
      <c r="B66" s="11"/>
      <c r="C66" s="6"/>
      <c r="D66" s="165"/>
      <c r="E66" s="109"/>
      <c r="F66" s="109"/>
      <c r="G66" s="109"/>
      <c r="H66" s="4"/>
      <c r="I66" s="26"/>
    </row>
    <row r="67" spans="1:11">
      <c r="A67" s="5" t="s">
        <v>678</v>
      </c>
      <c r="B67" s="11"/>
      <c r="C67" s="6"/>
      <c r="D67" s="165"/>
      <c r="E67" s="109">
        <v>550000</v>
      </c>
      <c r="F67" s="109"/>
      <c r="G67" s="109"/>
      <c r="H67" s="4"/>
      <c r="I67" s="26"/>
      <c r="K67" t="s">
        <v>681</v>
      </c>
    </row>
    <row r="68" spans="1:11">
      <c r="A68" s="5" t="s">
        <v>679</v>
      </c>
      <c r="B68" s="220">
        <v>1.5</v>
      </c>
      <c r="C68" s="139" t="s">
        <v>410</v>
      </c>
      <c r="D68" s="165"/>
      <c r="E68" s="109">
        <v>743000</v>
      </c>
      <c r="F68" s="109"/>
      <c r="G68" s="109"/>
      <c r="H68" s="4"/>
      <c r="I68" s="26"/>
      <c r="K68" t="s">
        <v>681</v>
      </c>
    </row>
    <row r="69" spans="1:11">
      <c r="A69" s="5" t="s">
        <v>682</v>
      </c>
      <c r="B69" s="220">
        <v>4.8</v>
      </c>
      <c r="C69" s="139" t="s">
        <v>410</v>
      </c>
      <c r="D69" s="165"/>
      <c r="E69" s="109">
        <v>2376000</v>
      </c>
      <c r="F69" s="109"/>
      <c r="G69" s="109"/>
      <c r="H69" s="4"/>
      <c r="I69" s="26"/>
      <c r="K69" s="81" t="s">
        <v>684</v>
      </c>
    </row>
    <row r="70" spans="1:11">
      <c r="A70" s="5" t="s">
        <v>683</v>
      </c>
      <c r="B70" s="11">
        <v>18</v>
      </c>
      <c r="C70" s="139" t="s">
        <v>410</v>
      </c>
      <c r="D70" s="109"/>
      <c r="E70" s="109">
        <v>1245000</v>
      </c>
      <c r="F70" s="109">
        <f t="shared" ref="F70" si="15">E70</f>
        <v>1245000</v>
      </c>
      <c r="G70" s="109"/>
      <c r="H70" s="4"/>
      <c r="I70" s="26"/>
      <c r="K70" s="81" t="s">
        <v>684</v>
      </c>
    </row>
    <row r="71" spans="1:11">
      <c r="A71" s="5" t="s">
        <v>386</v>
      </c>
      <c r="B71" s="11"/>
      <c r="C71" s="6"/>
      <c r="D71" s="165"/>
      <c r="E71" s="109">
        <f>SUM(E67:E70)</f>
        <v>4914000</v>
      </c>
      <c r="F71" s="109">
        <f t="shared" ref="F71:G71" si="16">SUM(F67:F70)</f>
        <v>1245000</v>
      </c>
      <c r="G71" s="109">
        <f t="shared" si="16"/>
        <v>0</v>
      </c>
      <c r="H71" s="4"/>
      <c r="I71" s="26"/>
    </row>
    <row r="72" spans="1:11">
      <c r="A72" s="5" t="s">
        <v>5</v>
      </c>
      <c r="B72" s="11"/>
      <c r="C72" s="6"/>
      <c r="D72" s="165"/>
      <c r="E72" s="109"/>
      <c r="F72" s="109"/>
      <c r="G72" s="109"/>
      <c r="H72" s="4"/>
      <c r="I72" s="26"/>
    </row>
    <row r="73" spans="1:11">
      <c r="A73" s="190" t="s">
        <v>416</v>
      </c>
      <c r="B73" s="191"/>
      <c r="C73" s="192"/>
      <c r="D73" s="193"/>
      <c r="E73" s="107">
        <f>E65+E71</f>
        <v>6549000</v>
      </c>
      <c r="F73" s="107">
        <f>F65+F71</f>
        <v>2880000</v>
      </c>
      <c r="G73" s="107">
        <f>G65+G71</f>
        <v>0</v>
      </c>
      <c r="H73" s="4"/>
      <c r="I73" s="26"/>
    </row>
    <row r="74" spans="1:11">
      <c r="A74" s="8"/>
      <c r="B74" s="52"/>
      <c r="C74" s="8"/>
      <c r="D74" s="194"/>
      <c r="E74" s="28"/>
      <c r="F74" s="28"/>
      <c r="G74" s="28"/>
      <c r="H74" s="4"/>
      <c r="I74" s="26"/>
    </row>
    <row r="75" spans="1:11">
      <c r="A75" s="30"/>
      <c r="B75" s="31"/>
      <c r="C75" s="4"/>
      <c r="D75" s="10"/>
      <c r="E75" s="36"/>
      <c r="F75" s="36"/>
      <c r="G75" s="36"/>
      <c r="H75" s="4"/>
      <c r="I75" s="26"/>
    </row>
    <row r="76" spans="1:11">
      <c r="A76" s="9" t="s">
        <v>382</v>
      </c>
      <c r="B76" s="27">
        <v>0.04</v>
      </c>
      <c r="C76" s="12" t="s">
        <v>441</v>
      </c>
      <c r="D76" s="10"/>
      <c r="E76" s="36"/>
      <c r="F76" s="36"/>
      <c r="G76" s="36"/>
      <c r="H76" s="4"/>
      <c r="I76" s="26"/>
    </row>
    <row r="77" spans="1:11">
      <c r="A77" s="9" t="s">
        <v>113</v>
      </c>
      <c r="B77" s="27">
        <v>0.1</v>
      </c>
      <c r="C77" s="4"/>
      <c r="D77" s="10"/>
      <c r="E77" s="36"/>
      <c r="F77" s="36"/>
      <c r="G77" s="36"/>
      <c r="H77" s="4"/>
      <c r="I77" s="26"/>
    </row>
    <row r="78" spans="1:11">
      <c r="A78" s="30"/>
      <c r="B78" s="10"/>
      <c r="C78" s="4"/>
      <c r="D78" s="10"/>
      <c r="E78" s="4"/>
      <c r="F78" s="4"/>
      <c r="G78" s="4"/>
      <c r="H78" s="4"/>
      <c r="I78" s="26"/>
    </row>
    <row r="79" spans="1:11">
      <c r="A79" s="24"/>
      <c r="B79" s="183"/>
      <c r="C79" s="24"/>
      <c r="D79" s="183"/>
      <c r="E79" s="24"/>
      <c r="F79" s="24"/>
      <c r="G79" s="24"/>
      <c r="H79" s="24"/>
      <c r="I79" s="24"/>
    </row>
    <row r="80" spans="1:11">
      <c r="A80" s="4"/>
      <c r="B80" s="10"/>
      <c r="C80" s="4"/>
      <c r="D80" s="10"/>
      <c r="E80" s="4"/>
      <c r="F80" s="4"/>
      <c r="G80" s="4"/>
      <c r="H80" s="4"/>
      <c r="I80" s="4"/>
    </row>
    <row r="81" spans="1:11">
      <c r="A81" s="13" t="s">
        <v>0</v>
      </c>
      <c r="B81" s="14"/>
      <c r="C81" s="14"/>
      <c r="D81" s="14"/>
      <c r="E81" s="14"/>
      <c r="F81" s="14"/>
      <c r="G81" s="14"/>
      <c r="H81" s="14"/>
      <c r="I81" s="15"/>
    </row>
    <row r="82" spans="1:11">
      <c r="A82" s="16" t="str">
        <f>Title!$F$10</f>
        <v>ARTHUR RIVER MAGNESITE PROJECT</v>
      </c>
      <c r="B82" s="17"/>
      <c r="C82" s="17"/>
      <c r="D82" s="17"/>
      <c r="E82" s="17"/>
      <c r="F82" s="17"/>
      <c r="G82" s="17"/>
      <c r="H82" s="17"/>
      <c r="I82" s="18"/>
    </row>
    <row r="83" spans="1:11">
      <c r="A83" s="16" t="str">
        <f>Title!$F$12</f>
        <v>ORDER OF MAGNITUDE COST STUDY: CALCINE PRODUCTION ONLY</v>
      </c>
      <c r="B83" s="17"/>
      <c r="C83" s="17"/>
      <c r="D83" s="17"/>
      <c r="E83" s="17"/>
      <c r="F83" s="17"/>
      <c r="G83" s="17"/>
      <c r="H83" s="17"/>
      <c r="I83" s="18"/>
    </row>
    <row r="84" spans="1:11">
      <c r="A84" s="19"/>
      <c r="B84" s="17"/>
      <c r="C84" s="17"/>
      <c r="D84" s="17"/>
      <c r="E84" s="17"/>
      <c r="F84" s="17"/>
      <c r="G84" s="17"/>
      <c r="H84" s="17" t="str">
        <f>Title!$F$19</f>
        <v>3 October 2011</v>
      </c>
      <c r="I84" s="18"/>
    </row>
    <row r="85" spans="1:11">
      <c r="A85" s="20" t="s">
        <v>443</v>
      </c>
      <c r="B85" s="21"/>
      <c r="C85" s="21"/>
      <c r="D85" s="21"/>
      <c r="E85" s="21"/>
      <c r="F85" s="21"/>
      <c r="G85" s="21"/>
      <c r="H85" s="21"/>
      <c r="I85" s="22"/>
    </row>
    <row r="86" spans="1:11">
      <c r="A86" s="30"/>
      <c r="B86" s="10"/>
      <c r="C86" s="4"/>
      <c r="D86" s="10"/>
      <c r="E86" s="4"/>
      <c r="F86" s="4"/>
      <c r="G86" s="4"/>
      <c r="H86" s="4"/>
      <c r="I86" s="26"/>
    </row>
    <row r="87" spans="1:11">
      <c r="A87" s="30"/>
      <c r="B87" s="31"/>
      <c r="C87" s="4"/>
      <c r="D87" s="10"/>
      <c r="E87" s="36"/>
      <c r="F87" s="36"/>
      <c r="G87" s="36"/>
      <c r="H87" s="4"/>
      <c r="I87" s="26"/>
    </row>
    <row r="88" spans="1:11">
      <c r="A88" s="170"/>
      <c r="B88" s="186" t="s">
        <v>373</v>
      </c>
      <c r="C88" s="171" t="s">
        <v>311</v>
      </c>
      <c r="D88" s="186" t="s">
        <v>374</v>
      </c>
      <c r="E88" s="171" t="s">
        <v>375</v>
      </c>
      <c r="F88" s="186" t="s">
        <v>88</v>
      </c>
      <c r="G88" s="171" t="s">
        <v>89</v>
      </c>
      <c r="H88" s="4"/>
      <c r="I88" s="26"/>
    </row>
    <row r="89" spans="1:11">
      <c r="A89" s="39" t="s">
        <v>419</v>
      </c>
      <c r="B89" s="165"/>
      <c r="C89" s="6"/>
      <c r="D89" s="165"/>
      <c r="E89" s="6"/>
      <c r="F89" s="6"/>
      <c r="G89" s="6"/>
      <c r="H89" s="4"/>
      <c r="I89" s="26"/>
    </row>
    <row r="90" spans="1:11">
      <c r="A90" s="5" t="s">
        <v>376</v>
      </c>
      <c r="B90" s="11"/>
      <c r="C90" s="6"/>
      <c r="D90" s="165"/>
      <c r="E90" s="109"/>
      <c r="F90" s="109"/>
      <c r="G90" s="109"/>
      <c r="H90" s="4"/>
      <c r="I90" s="26"/>
    </row>
    <row r="91" spans="1:11">
      <c r="A91" s="5" t="s">
        <v>378</v>
      </c>
      <c r="B91" s="11">
        <v>4</v>
      </c>
      <c r="C91" s="139" t="s">
        <v>387</v>
      </c>
      <c r="D91" s="109">
        <v>4000</v>
      </c>
      <c r="E91" s="109">
        <f>B91*D91</f>
        <v>16000</v>
      </c>
      <c r="F91" s="109"/>
      <c r="G91" s="109">
        <f t="shared" ref="G91:G92" si="17">E91</f>
        <v>16000</v>
      </c>
      <c r="H91" s="4"/>
      <c r="I91" s="26"/>
      <c r="K91" s="81"/>
    </row>
    <row r="92" spans="1:11">
      <c r="A92" s="5" t="s">
        <v>390</v>
      </c>
      <c r="B92" s="11">
        <v>3000</v>
      </c>
      <c r="C92" s="189" t="s">
        <v>391</v>
      </c>
      <c r="D92" s="108">
        <v>12</v>
      </c>
      <c r="E92" s="109">
        <f>B92*D92</f>
        <v>36000</v>
      </c>
      <c r="F92" s="109"/>
      <c r="G92" s="109">
        <f t="shared" si="17"/>
        <v>36000</v>
      </c>
      <c r="H92" s="4"/>
      <c r="I92" s="26"/>
      <c r="K92" s="81"/>
    </row>
    <row r="93" spans="1:11">
      <c r="A93" s="5" t="s">
        <v>418</v>
      </c>
      <c r="B93" s="11">
        <v>50</v>
      </c>
      <c r="C93" s="189" t="s">
        <v>391</v>
      </c>
      <c r="D93" s="109">
        <v>1200</v>
      </c>
      <c r="E93" s="109">
        <f>B93*D93</f>
        <v>60000</v>
      </c>
      <c r="F93" s="109"/>
      <c r="G93" s="109">
        <f t="shared" ref="G93" si="18">E93</f>
        <v>60000</v>
      </c>
      <c r="H93" s="4"/>
      <c r="I93" s="26"/>
      <c r="K93" s="81"/>
    </row>
    <row r="94" spans="1:11">
      <c r="A94" s="5" t="s">
        <v>386</v>
      </c>
      <c r="B94" s="11"/>
      <c r="C94" s="189"/>
      <c r="D94" s="165"/>
      <c r="E94" s="109">
        <f>SUM(E91:E93)</f>
        <v>112000</v>
      </c>
      <c r="F94" s="109">
        <f t="shared" ref="F94:G94" si="19">SUM(F91:F93)</f>
        <v>0</v>
      </c>
      <c r="G94" s="109">
        <f t="shared" si="19"/>
        <v>112000</v>
      </c>
      <c r="H94" s="4"/>
      <c r="I94" s="26"/>
    </row>
    <row r="95" spans="1:11">
      <c r="A95" s="5" t="s">
        <v>377</v>
      </c>
      <c r="B95" s="165"/>
      <c r="C95" s="6"/>
      <c r="D95" s="165"/>
      <c r="E95" s="6"/>
      <c r="F95" s="6"/>
      <c r="G95" s="6"/>
      <c r="H95" s="4"/>
      <c r="I95" s="26"/>
    </row>
    <row r="96" spans="1:11">
      <c r="A96" s="5" t="s">
        <v>386</v>
      </c>
      <c r="B96" s="165"/>
      <c r="C96" s="6"/>
      <c r="D96" s="165"/>
      <c r="E96" s="109">
        <v>100000</v>
      </c>
      <c r="F96" s="109">
        <v>0</v>
      </c>
      <c r="G96" s="109">
        <f t="shared" ref="G96" si="20">E96</f>
        <v>100000</v>
      </c>
      <c r="H96" s="4"/>
      <c r="I96" s="26"/>
      <c r="K96" s="81"/>
    </row>
    <row r="97" spans="1:11">
      <c r="A97" s="5" t="s">
        <v>396</v>
      </c>
      <c r="B97" s="165"/>
      <c r="C97" s="6"/>
      <c r="D97" s="165"/>
      <c r="E97" s="6"/>
      <c r="F97" s="6"/>
      <c r="G97" s="6"/>
      <c r="H97" s="4"/>
      <c r="I97" s="26"/>
    </row>
    <row r="98" spans="1:11">
      <c r="A98" s="5" t="s">
        <v>421</v>
      </c>
      <c r="B98" s="165"/>
      <c r="C98" s="189" t="s">
        <v>381</v>
      </c>
      <c r="D98" s="165"/>
      <c r="E98" s="109">
        <v>1000000</v>
      </c>
      <c r="F98" s="109"/>
      <c r="G98" s="109">
        <f t="shared" ref="G98:G99" si="21">E98</f>
        <v>1000000</v>
      </c>
      <c r="H98" s="4"/>
      <c r="I98" s="26"/>
      <c r="K98" s="81"/>
    </row>
    <row r="99" spans="1:11">
      <c r="A99" s="5" t="s">
        <v>422</v>
      </c>
      <c r="B99" s="11"/>
      <c r="C99" s="189" t="s">
        <v>381</v>
      </c>
      <c r="D99" s="165"/>
      <c r="E99" s="109">
        <v>200000</v>
      </c>
      <c r="F99" s="109"/>
      <c r="G99" s="109">
        <f t="shared" si="21"/>
        <v>200000</v>
      </c>
      <c r="H99" s="4"/>
      <c r="I99" s="26"/>
      <c r="K99" s="81"/>
    </row>
    <row r="100" spans="1:11">
      <c r="A100" s="5" t="s">
        <v>386</v>
      </c>
      <c r="B100" s="11"/>
      <c r="C100" s="189"/>
      <c r="D100" s="165"/>
      <c r="E100" s="109">
        <f>SUM(E98:E99)</f>
        <v>1200000</v>
      </c>
      <c r="F100" s="109"/>
      <c r="G100" s="109">
        <f>SUM(G98:G99)</f>
        <v>1200000</v>
      </c>
      <c r="H100" s="4"/>
      <c r="I100" s="26"/>
    </row>
    <row r="101" spans="1:11">
      <c r="A101" s="5" t="s">
        <v>5</v>
      </c>
      <c r="B101" s="11"/>
      <c r="C101" s="6"/>
      <c r="D101" s="165"/>
      <c r="E101" s="109"/>
      <c r="F101" s="109"/>
      <c r="G101" s="109"/>
      <c r="H101" s="4"/>
      <c r="I101" s="26"/>
    </row>
    <row r="102" spans="1:11">
      <c r="A102" s="190" t="s">
        <v>420</v>
      </c>
      <c r="B102" s="191"/>
      <c r="C102" s="192"/>
      <c r="D102" s="193"/>
      <c r="E102" s="107">
        <f>E94+E96+E100</f>
        <v>1412000</v>
      </c>
      <c r="F102" s="107">
        <f t="shared" ref="F102:G102" si="22">F94+F96+F100</f>
        <v>0</v>
      </c>
      <c r="G102" s="107">
        <f t="shared" si="22"/>
        <v>1412000</v>
      </c>
      <c r="H102" s="4"/>
      <c r="I102" s="26"/>
    </row>
    <row r="103" spans="1:11">
      <c r="A103" s="39" t="s">
        <v>424</v>
      </c>
      <c r="B103" s="165"/>
      <c r="C103" s="6"/>
      <c r="D103" s="165"/>
      <c r="E103" s="6"/>
      <c r="F103" s="6"/>
      <c r="G103" s="6"/>
      <c r="H103" s="4"/>
      <c r="I103" s="26"/>
    </row>
    <row r="104" spans="1:11">
      <c r="A104" s="5" t="s">
        <v>5</v>
      </c>
      <c r="B104" s="11"/>
      <c r="C104" s="6"/>
      <c r="D104" s="165"/>
      <c r="E104" s="109"/>
      <c r="F104" s="109"/>
      <c r="G104" s="109"/>
      <c r="H104" s="4"/>
      <c r="I104" s="26"/>
    </row>
    <row r="105" spans="1:11">
      <c r="A105" s="190" t="s">
        <v>425</v>
      </c>
      <c r="B105" s="191"/>
      <c r="C105" s="192"/>
      <c r="D105" s="193"/>
      <c r="E105" s="107">
        <v>800000</v>
      </c>
      <c r="F105" s="107">
        <v>0</v>
      </c>
      <c r="G105" s="107">
        <f>E105</f>
        <v>800000</v>
      </c>
      <c r="H105" s="4"/>
      <c r="I105" s="26"/>
      <c r="K105" s="81"/>
    </row>
    <row r="106" spans="1:11">
      <c r="A106" s="39" t="s">
        <v>497</v>
      </c>
      <c r="B106" s="165"/>
      <c r="C106" s="6"/>
      <c r="D106" s="165"/>
      <c r="E106" s="6"/>
      <c r="F106" s="6"/>
      <c r="G106" s="6"/>
      <c r="H106" s="4"/>
      <c r="I106" s="26"/>
    </row>
    <row r="107" spans="1:11">
      <c r="A107" s="5" t="s">
        <v>5</v>
      </c>
      <c r="B107" s="11"/>
      <c r="C107" s="6"/>
      <c r="D107" s="165"/>
      <c r="E107" s="109"/>
      <c r="F107" s="109"/>
      <c r="G107" s="109"/>
      <c r="H107" s="4"/>
      <c r="I107" s="26"/>
    </row>
    <row r="108" spans="1:11">
      <c r="A108" s="190" t="s">
        <v>498</v>
      </c>
      <c r="B108" s="191"/>
      <c r="C108" s="192"/>
      <c r="D108" s="193"/>
      <c r="E108" s="107"/>
      <c r="F108" s="107">
        <v>0</v>
      </c>
      <c r="G108" s="107">
        <f>E108-F108</f>
        <v>0</v>
      </c>
      <c r="H108" s="4"/>
      <c r="I108" s="26"/>
      <c r="K108" s="81"/>
    </row>
    <row r="109" spans="1:11">
      <c r="A109" s="39" t="s">
        <v>426</v>
      </c>
      <c r="B109" s="165"/>
      <c r="C109" s="6"/>
      <c r="D109" s="165"/>
      <c r="E109" s="6"/>
      <c r="F109" s="6"/>
      <c r="G109" s="6"/>
      <c r="H109" s="4"/>
      <c r="I109" s="26"/>
    </row>
    <row r="110" spans="1:11">
      <c r="A110" s="5" t="s">
        <v>5</v>
      </c>
      <c r="B110" s="11"/>
      <c r="C110" s="6"/>
      <c r="D110" s="165"/>
      <c r="E110" s="109"/>
      <c r="F110" s="109"/>
      <c r="G110" s="109"/>
      <c r="H110" s="4"/>
      <c r="I110" s="26"/>
    </row>
    <row r="111" spans="1:11">
      <c r="A111" s="190" t="s">
        <v>427</v>
      </c>
      <c r="B111" s="191"/>
      <c r="C111" s="192"/>
      <c r="D111" s="193"/>
      <c r="E111" s="107">
        <v>35000000</v>
      </c>
      <c r="F111" s="107">
        <f>E111*0.2</f>
        <v>7000000</v>
      </c>
      <c r="G111" s="107">
        <f>E111-F111</f>
        <v>28000000</v>
      </c>
      <c r="H111" s="4"/>
      <c r="I111" s="26"/>
      <c r="K111" s="81"/>
    </row>
    <row r="112" spans="1:11">
      <c r="A112" s="39" t="s">
        <v>428</v>
      </c>
      <c r="B112" s="165"/>
      <c r="C112" s="6"/>
      <c r="D112" s="165"/>
      <c r="E112" s="6"/>
      <c r="F112" s="6"/>
      <c r="G112" s="6"/>
      <c r="H112" s="4"/>
      <c r="I112" s="26"/>
    </row>
    <row r="113" spans="1:11">
      <c r="A113" s="5" t="s">
        <v>5</v>
      </c>
      <c r="B113" s="11"/>
      <c r="C113" s="6"/>
      <c r="D113" s="165"/>
      <c r="E113" s="109"/>
      <c r="F113" s="109"/>
      <c r="G113" s="109"/>
      <c r="H113" s="4"/>
      <c r="I113" s="26"/>
    </row>
    <row r="114" spans="1:11">
      <c r="A114" s="190" t="s">
        <v>429</v>
      </c>
      <c r="B114" s="191"/>
      <c r="C114" s="192"/>
      <c r="D114" s="193"/>
      <c r="E114" s="107">
        <v>10000000</v>
      </c>
      <c r="F114" s="107">
        <f>E114*0.2</f>
        <v>2000000</v>
      </c>
      <c r="G114" s="107">
        <f>E114-F114</f>
        <v>8000000</v>
      </c>
      <c r="H114" s="4"/>
      <c r="I114" s="26"/>
      <c r="K114" s="81"/>
    </row>
    <row r="115" spans="1:11">
      <c r="A115" s="39" t="s">
        <v>430</v>
      </c>
      <c r="B115" s="165"/>
      <c r="C115" s="6"/>
      <c r="D115" s="165"/>
      <c r="E115" s="6"/>
      <c r="F115" s="6"/>
      <c r="G115" s="6"/>
      <c r="H115" s="4"/>
      <c r="I115" s="26"/>
    </row>
    <row r="116" spans="1:11">
      <c r="A116" s="5" t="s">
        <v>5</v>
      </c>
      <c r="B116" s="11"/>
      <c r="C116" s="6"/>
      <c r="D116" s="165"/>
      <c r="E116" s="109"/>
      <c r="F116" s="109"/>
      <c r="G116" s="109"/>
      <c r="H116" s="4"/>
      <c r="I116" s="26"/>
    </row>
    <row r="117" spans="1:11">
      <c r="A117" s="190" t="s">
        <v>429</v>
      </c>
      <c r="B117" s="191"/>
      <c r="C117" s="192"/>
      <c r="D117" s="193"/>
      <c r="E117" s="107">
        <v>8000000</v>
      </c>
      <c r="F117" s="107">
        <v>0</v>
      </c>
      <c r="G117" s="107">
        <f>E117</f>
        <v>8000000</v>
      </c>
      <c r="H117" s="4"/>
      <c r="I117" s="26"/>
      <c r="K117" s="81"/>
    </row>
    <row r="118" spans="1:11">
      <c r="A118" s="39" t="s">
        <v>431</v>
      </c>
      <c r="B118" s="165"/>
      <c r="C118" s="6"/>
      <c r="D118" s="165"/>
      <c r="E118" s="6"/>
      <c r="F118" s="6"/>
      <c r="G118" s="6"/>
      <c r="H118" s="4"/>
      <c r="I118" s="26"/>
    </row>
    <row r="119" spans="1:11">
      <c r="A119" s="5" t="s">
        <v>5</v>
      </c>
      <c r="B119" s="11"/>
      <c r="C119" s="6"/>
      <c r="D119" s="165"/>
      <c r="E119" s="109"/>
      <c r="F119" s="109"/>
      <c r="G119" s="109"/>
      <c r="H119" s="4"/>
      <c r="I119" s="26"/>
    </row>
    <row r="120" spans="1:11">
      <c r="A120" s="190" t="s">
        <v>429</v>
      </c>
      <c r="B120" s="191"/>
      <c r="C120" s="192"/>
      <c r="D120" s="193"/>
      <c r="E120" s="107">
        <v>1000000</v>
      </c>
      <c r="F120" s="107">
        <v>0</v>
      </c>
      <c r="G120" s="107">
        <f>E120</f>
        <v>1000000</v>
      </c>
      <c r="H120" s="4"/>
      <c r="I120" s="26"/>
      <c r="K120" s="81"/>
    </row>
    <row r="121" spans="1:11">
      <c r="A121" s="39" t="s">
        <v>300</v>
      </c>
      <c r="B121" s="11"/>
      <c r="C121" s="6"/>
      <c r="D121" s="165"/>
      <c r="E121" s="109"/>
      <c r="F121" s="109"/>
      <c r="G121" s="109"/>
      <c r="H121" s="4"/>
      <c r="I121" s="26"/>
    </row>
    <row r="122" spans="1:11">
      <c r="A122" s="5" t="s">
        <v>398</v>
      </c>
      <c r="B122" s="11"/>
      <c r="C122" s="189" t="s">
        <v>381</v>
      </c>
      <c r="D122" s="165"/>
      <c r="E122" s="109">
        <v>500000</v>
      </c>
      <c r="F122" s="109"/>
      <c r="G122" s="109">
        <f t="shared" ref="G122:G131" si="23">E122</f>
        <v>500000</v>
      </c>
      <c r="H122" s="4"/>
      <c r="I122" s="26"/>
      <c r="K122" s="81"/>
    </row>
    <row r="123" spans="1:11">
      <c r="A123" s="5" t="s">
        <v>399</v>
      </c>
      <c r="B123" s="11"/>
      <c r="C123" s="189" t="s">
        <v>381</v>
      </c>
      <c r="D123" s="165"/>
      <c r="E123" s="109">
        <v>300000</v>
      </c>
      <c r="F123" s="109"/>
      <c r="G123" s="109">
        <f t="shared" si="23"/>
        <v>300000</v>
      </c>
      <c r="H123" s="4"/>
      <c r="I123" s="26"/>
      <c r="K123" s="81"/>
    </row>
    <row r="124" spans="1:11">
      <c r="A124" s="5" t="s">
        <v>432</v>
      </c>
      <c r="B124" s="11"/>
      <c r="C124" s="189" t="s">
        <v>381</v>
      </c>
      <c r="D124" s="165"/>
      <c r="E124" s="109">
        <v>200000</v>
      </c>
      <c r="F124" s="109"/>
      <c r="G124" s="109">
        <f t="shared" si="23"/>
        <v>200000</v>
      </c>
      <c r="H124" s="4"/>
      <c r="I124" s="26"/>
      <c r="K124" s="81"/>
    </row>
    <row r="125" spans="1:11">
      <c r="A125" s="5" t="s">
        <v>433</v>
      </c>
      <c r="B125" s="11"/>
      <c r="C125" s="189" t="s">
        <v>381</v>
      </c>
      <c r="D125" s="165"/>
      <c r="E125" s="109">
        <v>400000</v>
      </c>
      <c r="F125" s="109"/>
      <c r="G125" s="109">
        <f t="shared" si="23"/>
        <v>400000</v>
      </c>
      <c r="H125" s="4"/>
      <c r="I125" s="26"/>
      <c r="K125" s="81"/>
    </row>
    <row r="126" spans="1:11">
      <c r="A126" s="5" t="s">
        <v>403</v>
      </c>
      <c r="B126" s="11"/>
      <c r="C126" s="189" t="s">
        <v>381</v>
      </c>
      <c r="D126" s="165"/>
      <c r="E126" s="109">
        <v>1000000</v>
      </c>
      <c r="F126" s="109"/>
      <c r="G126" s="109">
        <f t="shared" si="23"/>
        <v>1000000</v>
      </c>
      <c r="H126" s="4"/>
      <c r="I126" s="26"/>
      <c r="K126" s="81"/>
    </row>
    <row r="127" spans="1:11">
      <c r="A127" s="5" t="s">
        <v>412</v>
      </c>
      <c r="B127" s="11"/>
      <c r="C127" s="189" t="s">
        <v>381</v>
      </c>
      <c r="D127" s="165"/>
      <c r="E127" s="109">
        <v>200000</v>
      </c>
      <c r="F127" s="109"/>
      <c r="G127" s="109">
        <f t="shared" si="23"/>
        <v>200000</v>
      </c>
      <c r="H127" s="4"/>
      <c r="I127" s="26"/>
      <c r="K127" s="81"/>
    </row>
    <row r="128" spans="1:11">
      <c r="A128" s="5" t="s">
        <v>401</v>
      </c>
      <c r="B128" s="11"/>
      <c r="C128" s="189" t="s">
        <v>381</v>
      </c>
      <c r="D128" s="165"/>
      <c r="E128" s="109">
        <v>100000</v>
      </c>
      <c r="F128" s="109"/>
      <c r="G128" s="109">
        <f t="shared" si="23"/>
        <v>100000</v>
      </c>
      <c r="H128" s="4"/>
      <c r="I128" s="26"/>
      <c r="K128" s="81"/>
    </row>
    <row r="129" spans="1:11">
      <c r="A129" s="5" t="s">
        <v>402</v>
      </c>
      <c r="B129" s="11"/>
      <c r="C129" s="189" t="s">
        <v>381</v>
      </c>
      <c r="D129" s="165"/>
      <c r="E129" s="109">
        <v>100000</v>
      </c>
      <c r="F129" s="109"/>
      <c r="G129" s="109">
        <f t="shared" si="23"/>
        <v>100000</v>
      </c>
      <c r="H129" s="4"/>
      <c r="I129" s="26"/>
      <c r="K129" s="81"/>
    </row>
    <row r="130" spans="1:11">
      <c r="A130" s="5" t="s">
        <v>415</v>
      </c>
      <c r="B130" s="11"/>
      <c r="C130" s="189" t="s">
        <v>381</v>
      </c>
      <c r="D130" s="165"/>
      <c r="E130" s="109">
        <v>100000</v>
      </c>
      <c r="F130" s="109"/>
      <c r="G130" s="109">
        <f t="shared" si="23"/>
        <v>100000</v>
      </c>
      <c r="H130" s="4"/>
      <c r="I130" s="26"/>
      <c r="K130" s="81"/>
    </row>
    <row r="131" spans="1:11">
      <c r="A131" s="5" t="s">
        <v>414</v>
      </c>
      <c r="B131" s="11"/>
      <c r="C131" s="189" t="s">
        <v>381</v>
      </c>
      <c r="D131" s="165"/>
      <c r="E131" s="109">
        <v>250000</v>
      </c>
      <c r="F131" s="109"/>
      <c r="G131" s="109">
        <f t="shared" si="23"/>
        <v>250000</v>
      </c>
      <c r="H131" s="4"/>
      <c r="I131" s="26"/>
      <c r="K131" s="81"/>
    </row>
    <row r="132" spans="1:11">
      <c r="A132" s="5" t="s">
        <v>434</v>
      </c>
      <c r="B132" s="11"/>
      <c r="C132" s="189"/>
      <c r="D132" s="165"/>
      <c r="E132" s="109"/>
      <c r="F132" s="109"/>
      <c r="G132" s="109"/>
      <c r="H132" s="4"/>
      <c r="I132" s="26"/>
      <c r="K132" s="81"/>
    </row>
    <row r="133" spans="1:11">
      <c r="A133" s="5" t="s">
        <v>435</v>
      </c>
      <c r="B133" s="11">
        <v>1000</v>
      </c>
      <c r="C133" s="139" t="s">
        <v>436</v>
      </c>
      <c r="D133" s="109">
        <v>110</v>
      </c>
      <c r="E133" s="109">
        <f>B133*D133</f>
        <v>110000</v>
      </c>
      <c r="F133" s="109">
        <f>E133*1</f>
        <v>110000</v>
      </c>
      <c r="G133" s="109">
        <f>E133-F133</f>
        <v>0</v>
      </c>
      <c r="H133" s="4"/>
      <c r="I133" s="26"/>
      <c r="K133" s="81"/>
    </row>
    <row r="134" spans="1:11">
      <c r="A134" s="5" t="s">
        <v>437</v>
      </c>
      <c r="B134" s="11">
        <v>2</v>
      </c>
      <c r="C134" s="189" t="s">
        <v>438</v>
      </c>
      <c r="D134" s="109">
        <v>25000</v>
      </c>
      <c r="E134" s="109">
        <f>B134*D134</f>
        <v>50000</v>
      </c>
      <c r="F134" s="109">
        <f>E134*1</f>
        <v>50000</v>
      </c>
      <c r="G134" s="109">
        <f>E134-F134</f>
        <v>0</v>
      </c>
      <c r="H134" s="4"/>
      <c r="I134" s="26"/>
      <c r="K134" s="81"/>
    </row>
    <row r="135" spans="1:11">
      <c r="A135" s="5" t="s">
        <v>439</v>
      </c>
      <c r="B135" s="11"/>
      <c r="C135" s="189" t="s">
        <v>381</v>
      </c>
      <c r="D135" s="109"/>
      <c r="E135" s="109"/>
      <c r="F135" s="109"/>
      <c r="G135" s="109"/>
      <c r="H135" s="4"/>
      <c r="I135" s="26"/>
      <c r="K135" s="81"/>
    </row>
    <row r="136" spans="1:11">
      <c r="A136" s="5" t="s">
        <v>386</v>
      </c>
      <c r="B136" s="11"/>
      <c r="C136" s="189"/>
      <c r="D136" s="165"/>
      <c r="E136" s="109">
        <f>SUM(E133:E135)</f>
        <v>160000</v>
      </c>
      <c r="F136" s="109">
        <f t="shared" ref="F136:G136" si="24">SUM(F133:F135)</f>
        <v>160000</v>
      </c>
      <c r="G136" s="109">
        <f t="shared" si="24"/>
        <v>0</v>
      </c>
      <c r="H136" s="4"/>
      <c r="I136" s="26"/>
      <c r="K136" s="81"/>
    </row>
    <row r="137" spans="1:11">
      <c r="A137" s="5" t="s">
        <v>5</v>
      </c>
      <c r="B137" s="11"/>
      <c r="C137" s="6"/>
      <c r="D137" s="165"/>
      <c r="E137" s="109"/>
      <c r="F137" s="109"/>
      <c r="G137" s="109"/>
      <c r="H137" s="4"/>
      <c r="I137" s="26"/>
    </row>
    <row r="138" spans="1:11">
      <c r="A138" s="190" t="s">
        <v>404</v>
      </c>
      <c r="B138" s="191"/>
      <c r="C138" s="192"/>
      <c r="D138" s="193"/>
      <c r="E138" s="107">
        <f>E122+E123+E124+E125+E126+E127+E128+E129+E130+E131+E136</f>
        <v>3310000</v>
      </c>
      <c r="F138" s="107">
        <f t="shared" ref="F138:G138" si="25">F122+F123+F124+F125+F126+F127+F128+F129+F130+F131+F136</f>
        <v>160000</v>
      </c>
      <c r="G138" s="107">
        <f t="shared" si="25"/>
        <v>3150000</v>
      </c>
      <c r="H138" s="4"/>
      <c r="I138" s="26"/>
    </row>
    <row r="139" spans="1:11">
      <c r="A139" s="39" t="s">
        <v>301</v>
      </c>
      <c r="B139" s="11"/>
      <c r="C139" s="6"/>
      <c r="D139" s="165"/>
      <c r="E139" s="109"/>
      <c r="F139" s="109"/>
      <c r="G139" s="109"/>
      <c r="H139" s="4"/>
      <c r="I139" s="26"/>
    </row>
    <row r="140" spans="1:11">
      <c r="A140" s="5" t="s">
        <v>564</v>
      </c>
      <c r="B140" s="11"/>
      <c r="C140" s="6"/>
      <c r="D140" s="165"/>
      <c r="E140" s="109"/>
      <c r="F140" s="109"/>
      <c r="G140" s="109"/>
      <c r="H140" s="4"/>
      <c r="I140" s="26"/>
    </row>
    <row r="141" spans="1:11">
      <c r="A141" s="5" t="s">
        <v>405</v>
      </c>
      <c r="B141" s="11"/>
      <c r="C141" s="6"/>
      <c r="D141" s="165"/>
      <c r="E141" s="109"/>
      <c r="F141" s="109"/>
      <c r="G141" s="109"/>
      <c r="H141" s="4"/>
      <c r="I141" s="26"/>
      <c r="K141" s="81" t="s">
        <v>411</v>
      </c>
    </row>
    <row r="142" spans="1:11">
      <c r="A142" s="5" t="s">
        <v>490</v>
      </c>
      <c r="B142" s="11">
        <v>2</v>
      </c>
      <c r="C142" s="139" t="s">
        <v>410</v>
      </c>
      <c r="D142" s="109">
        <v>150000</v>
      </c>
      <c r="E142" s="109">
        <f>B142*D142</f>
        <v>300000</v>
      </c>
      <c r="F142" s="109">
        <f>E142</f>
        <v>300000</v>
      </c>
      <c r="G142" s="109">
        <f>E142-F142</f>
        <v>0</v>
      </c>
      <c r="H142" s="4"/>
      <c r="I142" s="26"/>
      <c r="K142" s="81" t="s">
        <v>491</v>
      </c>
    </row>
    <row r="143" spans="1:11">
      <c r="A143" s="5" t="s">
        <v>386</v>
      </c>
      <c r="B143" s="11"/>
      <c r="C143" s="6"/>
      <c r="D143" s="165"/>
      <c r="E143" s="109">
        <f>SUM(E141:E142)</f>
        <v>300000</v>
      </c>
      <c r="F143" s="109">
        <f t="shared" ref="F143" si="26">SUM(F141:F142)</f>
        <v>300000</v>
      </c>
      <c r="G143" s="109">
        <f t="shared" ref="G143" si="27">SUM(G141:G142)</f>
        <v>0</v>
      </c>
      <c r="H143" s="4"/>
      <c r="I143" s="26"/>
    </row>
    <row r="144" spans="1:11">
      <c r="A144" s="5" t="s">
        <v>406</v>
      </c>
      <c r="B144" s="11"/>
      <c r="C144" s="6"/>
      <c r="D144" s="165"/>
      <c r="E144" s="109"/>
      <c r="F144" s="109"/>
      <c r="G144" s="109"/>
      <c r="H144" s="4"/>
      <c r="I144" s="26"/>
    </row>
    <row r="145" spans="1:11">
      <c r="A145" s="5" t="s">
        <v>407</v>
      </c>
      <c r="B145" s="11">
        <v>0</v>
      </c>
      <c r="C145" s="139" t="s">
        <v>410</v>
      </c>
      <c r="D145" s="109">
        <v>72000</v>
      </c>
      <c r="E145" s="109">
        <f>B145*D145</f>
        <v>0</v>
      </c>
      <c r="F145" s="109">
        <f t="shared" ref="F145:F147" si="28">E145</f>
        <v>0</v>
      </c>
      <c r="G145" s="109"/>
      <c r="H145" s="4"/>
      <c r="I145" s="26"/>
    </row>
    <row r="146" spans="1:11">
      <c r="A146" s="5" t="s">
        <v>408</v>
      </c>
      <c r="B146" s="11"/>
      <c r="C146" s="6"/>
      <c r="D146" s="165"/>
      <c r="E146" s="109"/>
      <c r="F146" s="109">
        <f t="shared" si="28"/>
        <v>0</v>
      </c>
      <c r="G146" s="109"/>
      <c r="H146" s="4"/>
      <c r="I146" s="26"/>
    </row>
    <row r="147" spans="1:11">
      <c r="A147" s="5" t="s">
        <v>409</v>
      </c>
      <c r="B147" s="11"/>
      <c r="C147" s="6"/>
      <c r="D147" s="165"/>
      <c r="E147" s="109"/>
      <c r="F147" s="109">
        <f t="shared" si="28"/>
        <v>0</v>
      </c>
      <c r="G147" s="109"/>
      <c r="H147" s="4"/>
      <c r="I147" s="26"/>
    </row>
    <row r="148" spans="1:11">
      <c r="A148" s="5" t="s">
        <v>386</v>
      </c>
      <c r="B148" s="11"/>
      <c r="C148" s="6"/>
      <c r="D148" s="165"/>
      <c r="E148" s="109">
        <f>SUM(E145:E146)</f>
        <v>0</v>
      </c>
      <c r="F148" s="109">
        <f t="shared" ref="F148" si="29">SUM(F145:F146)</f>
        <v>0</v>
      </c>
      <c r="G148" s="109">
        <f t="shared" ref="G148" si="30">SUM(G145:G146)</f>
        <v>0</v>
      </c>
      <c r="H148" s="4"/>
      <c r="I148" s="26"/>
      <c r="K148" s="81" t="s">
        <v>411</v>
      </c>
    </row>
    <row r="149" spans="1:11">
      <c r="A149" s="5" t="s">
        <v>440</v>
      </c>
      <c r="B149" s="11"/>
      <c r="C149" s="6"/>
      <c r="D149" s="165"/>
      <c r="E149" s="109"/>
      <c r="F149" s="109"/>
      <c r="G149" s="109"/>
      <c r="H149" s="4"/>
      <c r="I149" s="26"/>
    </row>
    <row r="150" spans="1:11">
      <c r="A150" s="5" t="s">
        <v>386</v>
      </c>
      <c r="B150" s="11">
        <v>25</v>
      </c>
      <c r="C150" s="139" t="s">
        <v>410</v>
      </c>
      <c r="D150" s="109">
        <v>350000</v>
      </c>
      <c r="E150" s="109">
        <f>B150*D150</f>
        <v>8750000</v>
      </c>
      <c r="F150" s="109">
        <f>E150</f>
        <v>8750000</v>
      </c>
      <c r="G150" s="109">
        <f>E150-F150</f>
        <v>0</v>
      </c>
      <c r="H150" s="4"/>
      <c r="I150" s="26"/>
      <c r="K150" s="81" t="s">
        <v>411</v>
      </c>
    </row>
    <row r="151" spans="1:11">
      <c r="A151" s="5"/>
      <c r="B151" s="11"/>
      <c r="C151" s="6"/>
      <c r="D151" s="165"/>
      <c r="E151" s="109"/>
      <c r="F151" s="109"/>
      <c r="G151" s="109"/>
      <c r="H151" s="4"/>
      <c r="I151" s="26"/>
    </row>
    <row r="152" spans="1:11">
      <c r="A152" s="5" t="s">
        <v>5</v>
      </c>
      <c r="B152" s="11"/>
      <c r="C152" s="6"/>
      <c r="D152" s="165"/>
      <c r="E152" s="109"/>
      <c r="F152" s="109"/>
      <c r="G152" s="109"/>
      <c r="H152" s="4"/>
      <c r="I152" s="26"/>
    </row>
    <row r="153" spans="1:11">
      <c r="A153" s="190" t="s">
        <v>416</v>
      </c>
      <c r="B153" s="191"/>
      <c r="C153" s="192"/>
      <c r="D153" s="193"/>
      <c r="E153" s="107">
        <f>E143+E148+E150</f>
        <v>9050000</v>
      </c>
      <c r="F153" s="107">
        <f t="shared" ref="F153:G153" si="31">F143+F148+F150</f>
        <v>9050000</v>
      </c>
      <c r="G153" s="107">
        <f t="shared" si="31"/>
        <v>0</v>
      </c>
      <c r="H153" s="4"/>
      <c r="I153" s="26"/>
    </row>
    <row r="154" spans="1:11">
      <c r="A154" s="8"/>
      <c r="B154" s="194"/>
      <c r="C154" s="8"/>
      <c r="D154" s="194"/>
      <c r="E154" s="8"/>
      <c r="F154" s="8"/>
      <c r="G154" s="8"/>
      <c r="H154" s="4"/>
      <c r="I154" s="26"/>
    </row>
    <row r="155" spans="1:11">
      <c r="A155" s="30"/>
      <c r="B155" s="10"/>
      <c r="C155" s="4"/>
      <c r="D155" s="10"/>
      <c r="E155" s="4"/>
      <c r="F155" s="4"/>
      <c r="G155" s="4"/>
      <c r="H155" s="4"/>
      <c r="I155" s="26"/>
    </row>
    <row r="156" spans="1:11">
      <c r="A156" s="9" t="s">
        <v>382</v>
      </c>
      <c r="B156" s="27">
        <v>0.04</v>
      </c>
      <c r="C156" s="12" t="s">
        <v>441</v>
      </c>
      <c r="D156" s="10"/>
      <c r="E156" s="4"/>
      <c r="F156" s="4"/>
      <c r="G156" s="4"/>
      <c r="H156" s="4"/>
      <c r="I156" s="26"/>
    </row>
    <row r="157" spans="1:11">
      <c r="A157" s="9" t="s">
        <v>113</v>
      </c>
      <c r="B157" s="27">
        <v>0.1</v>
      </c>
      <c r="C157" s="4"/>
      <c r="D157" s="10"/>
      <c r="E157" s="4"/>
      <c r="F157" s="4"/>
      <c r="G157" s="4"/>
      <c r="H157" s="4"/>
      <c r="I157" s="26"/>
    </row>
    <row r="158" spans="1:11">
      <c r="A158" s="32"/>
      <c r="B158" s="33"/>
      <c r="C158" s="34"/>
      <c r="D158" s="34"/>
      <c r="E158" s="34"/>
      <c r="F158" s="34"/>
      <c r="G158" s="34"/>
      <c r="H158" s="34"/>
      <c r="I158" s="35"/>
    </row>
    <row r="159" spans="1:11">
      <c r="A159" s="4"/>
      <c r="B159" s="10"/>
      <c r="C159" s="4"/>
      <c r="D159" s="10"/>
      <c r="E159" s="4"/>
      <c r="F159" s="4"/>
      <c r="G159" s="4"/>
      <c r="H159" s="4"/>
      <c r="I159" s="4"/>
    </row>
    <row r="160" spans="1:11">
      <c r="A160" s="34"/>
      <c r="B160" s="33"/>
      <c r="C160" s="34"/>
      <c r="D160" s="33"/>
      <c r="E160" s="34"/>
      <c r="F160" s="34"/>
      <c r="G160" s="34"/>
      <c r="H160" s="34"/>
      <c r="I160" s="34"/>
    </row>
    <row r="161" spans="1:9">
      <c r="A161" s="13" t="s">
        <v>0</v>
      </c>
      <c r="B161" s="14"/>
      <c r="C161" s="14"/>
      <c r="D161" s="14"/>
      <c r="E161" s="14"/>
      <c r="F161" s="14"/>
      <c r="G161" s="14"/>
      <c r="H161" s="14"/>
      <c r="I161" s="15"/>
    </row>
    <row r="162" spans="1:9">
      <c r="A162" s="16" t="str">
        <f>Title!$F$10</f>
        <v>ARTHUR RIVER MAGNESITE PROJECT</v>
      </c>
      <c r="B162" s="17"/>
      <c r="C162" s="17"/>
      <c r="D162" s="17"/>
      <c r="E162" s="17"/>
      <c r="F162" s="17"/>
      <c r="G162" s="17"/>
      <c r="H162" s="17"/>
      <c r="I162" s="18"/>
    </row>
    <row r="163" spans="1:9">
      <c r="A163" s="16" t="str">
        <f>Title!$F$12</f>
        <v>ORDER OF MAGNITUDE COST STUDY: CALCINE PRODUCTION ONLY</v>
      </c>
      <c r="B163" s="17"/>
      <c r="C163" s="17"/>
      <c r="D163" s="17"/>
      <c r="E163" s="17"/>
      <c r="F163" s="17"/>
      <c r="G163" s="17"/>
      <c r="H163" s="17"/>
      <c r="I163" s="18"/>
    </row>
    <row r="164" spans="1:9">
      <c r="A164" s="19"/>
      <c r="B164" s="17"/>
      <c r="C164" s="17"/>
      <c r="D164" s="17"/>
      <c r="E164" s="17"/>
      <c r="F164" s="17"/>
      <c r="G164" s="17"/>
      <c r="H164" s="17" t="str">
        <f>Title!$F$19</f>
        <v>3 October 2011</v>
      </c>
      <c r="I164" s="18"/>
    </row>
    <row r="165" spans="1:9">
      <c r="A165" s="20" t="s">
        <v>748</v>
      </c>
      <c r="B165" s="21"/>
      <c r="C165" s="21"/>
      <c r="D165" s="21"/>
      <c r="E165" s="21"/>
      <c r="F165" s="21"/>
      <c r="G165" s="21"/>
      <c r="H165" s="21"/>
      <c r="I165" s="22"/>
    </row>
    <row r="166" spans="1:9">
      <c r="A166" s="30"/>
      <c r="B166" s="10"/>
      <c r="C166" s="4"/>
      <c r="D166" s="10"/>
      <c r="E166" s="4"/>
      <c r="F166" s="4"/>
      <c r="G166" s="4"/>
      <c r="H166" s="4"/>
      <c r="I166" s="26"/>
    </row>
    <row r="167" spans="1:9">
      <c r="A167" s="3" t="s">
        <v>766</v>
      </c>
      <c r="B167" s="4"/>
      <c r="C167" s="240"/>
      <c r="D167" s="240"/>
      <c r="E167" s="4"/>
      <c r="F167" s="4"/>
      <c r="G167" s="4"/>
      <c r="H167" s="4"/>
      <c r="I167" s="26"/>
    </row>
    <row r="168" spans="1:9">
      <c r="A168" s="9" t="s">
        <v>767</v>
      </c>
      <c r="B168" s="31">
        <f>'Phys Input'!B26</f>
        <v>300747.43425942183</v>
      </c>
      <c r="C168" s="240" t="s">
        <v>768</v>
      </c>
      <c r="D168" s="240"/>
      <c r="E168" s="4"/>
      <c r="F168" s="4"/>
      <c r="G168" s="4"/>
      <c r="H168" s="4"/>
      <c r="I168" s="26"/>
    </row>
    <row r="169" spans="1:9">
      <c r="A169" s="9" t="s">
        <v>769</v>
      </c>
      <c r="B169" s="31">
        <f>10*5*50</f>
        <v>2500</v>
      </c>
      <c r="C169" s="4" t="s">
        <v>770</v>
      </c>
      <c r="D169" s="240"/>
      <c r="E169" s="4"/>
      <c r="F169" s="4"/>
      <c r="G169" s="4"/>
      <c r="H169" s="4"/>
      <c r="I169" s="26"/>
    </row>
    <row r="170" spans="1:9">
      <c r="A170" s="9" t="s">
        <v>771</v>
      </c>
      <c r="B170" s="31">
        <f>10*5*50*0.75</f>
        <v>1875</v>
      </c>
      <c r="C170" s="4" t="s">
        <v>770</v>
      </c>
      <c r="D170" s="240"/>
      <c r="E170" s="4"/>
      <c r="F170" s="4"/>
      <c r="G170" s="4"/>
      <c r="H170" s="4"/>
      <c r="I170" s="26"/>
    </row>
    <row r="171" spans="1:9">
      <c r="A171" s="9"/>
      <c r="B171" s="31"/>
      <c r="C171" s="4"/>
      <c r="D171" s="240"/>
      <c r="E171" s="4"/>
      <c r="F171" s="4"/>
      <c r="G171" s="4"/>
      <c r="H171" s="4"/>
      <c r="I171" s="26"/>
    </row>
    <row r="172" spans="1:9">
      <c r="A172" s="3" t="s">
        <v>356</v>
      </c>
      <c r="B172" s="4"/>
      <c r="C172" s="4"/>
      <c r="D172" s="4"/>
      <c r="E172" s="4"/>
      <c r="F172" s="4"/>
      <c r="G172" s="4"/>
      <c r="H172" s="4"/>
      <c r="I172" s="26"/>
    </row>
    <row r="173" spans="1:9">
      <c r="A173" s="197"/>
      <c r="B173" s="227" t="s">
        <v>750</v>
      </c>
      <c r="C173" s="228" t="s">
        <v>311</v>
      </c>
      <c r="D173" s="227" t="s">
        <v>374</v>
      </c>
      <c r="E173" s="228" t="s">
        <v>311</v>
      </c>
      <c r="F173" s="227" t="s">
        <v>751</v>
      </c>
      <c r="G173" s="4"/>
      <c r="H173" s="4"/>
      <c r="I173" s="26"/>
    </row>
    <row r="174" spans="1:9">
      <c r="A174" s="185" t="s">
        <v>776</v>
      </c>
      <c r="B174" s="115"/>
      <c r="C174" s="229"/>
      <c r="D174" s="115"/>
      <c r="E174" s="229"/>
      <c r="F174" s="230"/>
      <c r="G174" s="4"/>
      <c r="H174" s="4"/>
      <c r="I174" s="26"/>
    </row>
    <row r="175" spans="1:9">
      <c r="A175" s="102" t="s">
        <v>752</v>
      </c>
      <c r="B175" s="231">
        <v>1</v>
      </c>
      <c r="C175" s="141" t="s">
        <v>753</v>
      </c>
      <c r="D175" s="115">
        <v>40</v>
      </c>
      <c r="E175" s="229" t="s">
        <v>754</v>
      </c>
      <c r="F175" s="232">
        <f>B175*D175*B169/B168</f>
        <v>0.33250491478421379</v>
      </c>
      <c r="G175" s="4"/>
      <c r="H175" s="4"/>
      <c r="I175" s="26"/>
    </row>
    <row r="176" spans="1:9">
      <c r="A176" s="102" t="s">
        <v>755</v>
      </c>
      <c r="B176" s="115"/>
      <c r="C176" s="233"/>
      <c r="D176" s="115"/>
      <c r="E176" s="229"/>
      <c r="F176" s="232">
        <f>F175/10</f>
        <v>3.3250491478421379E-2</v>
      </c>
      <c r="G176" s="4"/>
      <c r="H176" s="4"/>
      <c r="I176" s="26"/>
    </row>
    <row r="177" spans="1:11">
      <c r="A177" s="102" t="s">
        <v>756</v>
      </c>
      <c r="B177" s="109">
        <v>5000</v>
      </c>
      <c r="C177" s="233" t="s">
        <v>757</v>
      </c>
      <c r="D177" s="234">
        <v>2500</v>
      </c>
      <c r="E177" s="229" t="s">
        <v>758</v>
      </c>
      <c r="F177" s="232">
        <f>4*B177*B$169/(D177*B$168)</f>
        <v>6.6500982956842758E-2</v>
      </c>
      <c r="G177" s="4"/>
      <c r="H177" s="4"/>
      <c r="I177" s="26"/>
    </row>
    <row r="178" spans="1:11">
      <c r="A178" s="102" t="s">
        <v>759</v>
      </c>
      <c r="B178" s="109">
        <v>2000</v>
      </c>
      <c r="C178" s="233" t="s">
        <v>760</v>
      </c>
      <c r="D178" s="234">
        <v>500</v>
      </c>
      <c r="E178" s="229" t="s">
        <v>758</v>
      </c>
      <c r="F178" s="232">
        <f>B178*B$169/(D178*B$168)</f>
        <v>3.3250491478421379E-2</v>
      </c>
      <c r="G178" s="4"/>
      <c r="H178" s="4"/>
      <c r="I178" s="26"/>
    </row>
    <row r="179" spans="1:11">
      <c r="A179" s="5" t="s">
        <v>80</v>
      </c>
      <c r="B179" s="115"/>
      <c r="C179" s="229"/>
      <c r="D179" s="115"/>
      <c r="E179" s="229"/>
      <c r="F179" s="232">
        <f>SUM(F175:F178)</f>
        <v>0.46550688069789925</v>
      </c>
      <c r="G179" s="4"/>
      <c r="H179" s="4"/>
      <c r="I179" s="26"/>
    </row>
    <row r="180" spans="1:11">
      <c r="A180" s="39" t="s">
        <v>736</v>
      </c>
      <c r="B180" s="6"/>
      <c r="C180" s="6"/>
      <c r="D180" s="6"/>
      <c r="E180" s="6"/>
      <c r="F180" s="235"/>
      <c r="G180" s="4"/>
      <c r="H180" s="4"/>
      <c r="I180" s="26"/>
    </row>
    <row r="181" spans="1:11">
      <c r="A181" s="5" t="s">
        <v>761</v>
      </c>
      <c r="B181" s="109">
        <v>200000</v>
      </c>
      <c r="C181" s="141" t="s">
        <v>762</v>
      </c>
      <c r="D181" s="6"/>
      <c r="E181" s="236"/>
      <c r="F181" s="237">
        <f>B181/$B$168</f>
        <v>0.66500982956842758</v>
      </c>
      <c r="G181" s="238"/>
      <c r="H181" s="4"/>
      <c r="I181" s="26"/>
    </row>
    <row r="182" spans="1:11">
      <c r="A182" s="5" t="s">
        <v>763</v>
      </c>
      <c r="B182" s="109">
        <v>300</v>
      </c>
      <c r="C182" s="141" t="s">
        <v>764</v>
      </c>
      <c r="D182" s="6">
        <v>37</v>
      </c>
      <c r="E182" s="121" t="s">
        <v>762</v>
      </c>
      <c r="F182" s="237">
        <f>B182*D182/$B$168</f>
        <v>3.6908045541047735E-2</v>
      </c>
      <c r="G182" s="238"/>
      <c r="H182" s="4"/>
      <c r="I182" s="26"/>
    </row>
    <row r="183" spans="1:11">
      <c r="A183" s="5" t="s">
        <v>755</v>
      </c>
      <c r="B183" s="109">
        <v>700</v>
      </c>
      <c r="C183" s="141" t="s">
        <v>765</v>
      </c>
      <c r="D183" s="6">
        <v>8</v>
      </c>
      <c r="E183" s="121" t="s">
        <v>762</v>
      </c>
      <c r="F183" s="237">
        <f>B183*D183/$B$168</f>
        <v>1.8620275227915973E-2</v>
      </c>
      <c r="G183" s="238"/>
      <c r="H183" s="4"/>
      <c r="I183" s="26"/>
    </row>
    <row r="184" spans="1:11">
      <c r="A184" s="5" t="s">
        <v>80</v>
      </c>
      <c r="B184" s="6"/>
      <c r="C184" s="6"/>
      <c r="D184" s="6"/>
      <c r="E184" s="121"/>
      <c r="F184" s="237">
        <f>SUM(F181:F183)</f>
        <v>0.72053815033739133</v>
      </c>
      <c r="G184" s="239"/>
      <c r="H184" s="4"/>
      <c r="I184" s="26"/>
    </row>
    <row r="185" spans="1:11">
      <c r="A185" s="39" t="s">
        <v>299</v>
      </c>
      <c r="B185" s="6"/>
      <c r="C185" s="6"/>
      <c r="D185" s="6"/>
      <c r="E185" s="121"/>
      <c r="F185" s="237"/>
      <c r="G185" s="239"/>
      <c r="H185" s="4"/>
      <c r="I185" s="26"/>
    </row>
    <row r="186" spans="1:11">
      <c r="A186" s="5" t="s">
        <v>80</v>
      </c>
      <c r="B186" s="109">
        <v>35000</v>
      </c>
      <c r="C186" s="141" t="s">
        <v>762</v>
      </c>
      <c r="D186" s="6"/>
      <c r="E186" s="121"/>
      <c r="F186" s="237">
        <f>B186/$B$168</f>
        <v>0.11637672017447483</v>
      </c>
      <c r="G186" s="239"/>
      <c r="H186" s="4"/>
      <c r="I186" s="26"/>
    </row>
    <row r="187" spans="1:11">
      <c r="A187" s="39" t="s">
        <v>508</v>
      </c>
      <c r="B187" s="109"/>
      <c r="C187" s="5"/>
      <c r="D187" s="6"/>
      <c r="E187" s="121"/>
      <c r="F187" s="237"/>
      <c r="G187" s="239"/>
      <c r="H187" s="4"/>
      <c r="I187" s="26"/>
    </row>
    <row r="188" spans="1:11">
      <c r="A188" s="5" t="s">
        <v>780</v>
      </c>
      <c r="B188" s="109">
        <v>32</v>
      </c>
      <c r="C188" s="139" t="s">
        <v>781</v>
      </c>
      <c r="D188" s="6"/>
      <c r="E188" s="121"/>
      <c r="F188" s="237"/>
      <c r="G188" s="239"/>
      <c r="H188" s="4"/>
      <c r="I188" s="26"/>
      <c r="K188" s="81" t="s">
        <v>626</v>
      </c>
    </row>
    <row r="189" spans="1:11">
      <c r="A189" s="39" t="s">
        <v>772</v>
      </c>
      <c r="B189" s="109"/>
      <c r="C189" s="241"/>
      <c r="D189" s="6"/>
      <c r="E189" s="236"/>
      <c r="F189" s="242"/>
      <c r="G189" s="239"/>
      <c r="H189" s="4"/>
      <c r="I189" s="26"/>
    </row>
    <row r="190" spans="1:11">
      <c r="A190" s="6" t="s">
        <v>773</v>
      </c>
      <c r="B190" s="109">
        <v>10000</v>
      </c>
      <c r="C190" s="141" t="s">
        <v>762</v>
      </c>
      <c r="D190" s="6"/>
      <c r="E190" s="236"/>
      <c r="F190" s="237">
        <f>B190/$B$168</f>
        <v>3.3250491478421379E-2</v>
      </c>
      <c r="G190" s="239"/>
      <c r="H190" s="4"/>
      <c r="I190" s="26"/>
    </row>
    <row r="191" spans="1:11">
      <c r="A191" s="6" t="s">
        <v>774</v>
      </c>
      <c r="B191" s="109">
        <v>2000</v>
      </c>
      <c r="C191" s="141" t="s">
        <v>762</v>
      </c>
      <c r="D191" s="6"/>
      <c r="E191" s="236"/>
      <c r="F191" s="237">
        <f>B191/$B$168</f>
        <v>6.6500982956842758E-3</v>
      </c>
      <c r="G191" s="239"/>
      <c r="H191" s="4"/>
      <c r="I191" s="26"/>
    </row>
    <row r="192" spans="1:11">
      <c r="A192" s="5" t="s">
        <v>80</v>
      </c>
      <c r="B192" s="6"/>
      <c r="C192" s="6"/>
      <c r="D192" s="6"/>
      <c r="E192" s="121"/>
      <c r="F192" s="237">
        <f>SUM(F190:F191)</f>
        <v>3.9900589774105655E-2</v>
      </c>
      <c r="G192" s="243"/>
      <c r="H192" s="4"/>
      <c r="I192" s="26"/>
    </row>
    <row r="193" spans="1:11">
      <c r="A193" s="7"/>
      <c r="B193" s="8"/>
      <c r="C193" s="8"/>
      <c r="D193" s="8"/>
      <c r="E193" s="244"/>
      <c r="F193" s="245"/>
      <c r="G193" s="238"/>
      <c r="H193" s="4"/>
      <c r="I193" s="26"/>
    </row>
    <row r="194" spans="1:11">
      <c r="A194" s="246"/>
      <c r="B194" s="24"/>
      <c r="C194" s="247"/>
      <c r="D194" s="247"/>
      <c r="E194" s="24"/>
      <c r="F194" s="24"/>
      <c r="G194" s="4"/>
      <c r="H194" s="4"/>
      <c r="I194" s="26"/>
    </row>
    <row r="195" spans="1:11">
      <c r="A195" s="3" t="s">
        <v>783</v>
      </c>
      <c r="B195" s="248"/>
      <c r="C195" s="238"/>
      <c r="D195" s="238"/>
      <c r="E195" s="4"/>
      <c r="F195" s="37"/>
      <c r="G195" s="238"/>
      <c r="H195" s="4"/>
      <c r="I195" s="26"/>
    </row>
    <row r="196" spans="1:11">
      <c r="A196" s="249"/>
      <c r="B196" s="228" t="s">
        <v>775</v>
      </c>
      <c r="C196" s="227" t="s">
        <v>751</v>
      </c>
      <c r="D196" s="248"/>
      <c r="E196" s="248"/>
      <c r="H196" s="4"/>
      <c r="I196" s="26"/>
    </row>
    <row r="197" spans="1:11">
      <c r="A197" s="46" t="s">
        <v>776</v>
      </c>
      <c r="B197" s="252">
        <v>65000</v>
      </c>
      <c r="C197" s="108">
        <f>B197/B$168</f>
        <v>0.21612819460973898</v>
      </c>
      <c r="D197" s="248"/>
      <c r="E197" s="248"/>
      <c r="H197" s="4"/>
      <c r="I197" s="26"/>
    </row>
    <row r="198" spans="1:11">
      <c r="A198" s="6" t="s">
        <v>736</v>
      </c>
      <c r="B198" s="250">
        <v>150000</v>
      </c>
      <c r="C198" s="108">
        <f>B198/B$168</f>
        <v>0.49875737217632071</v>
      </c>
      <c r="D198" s="248"/>
      <c r="E198" s="248"/>
      <c r="H198" s="4"/>
      <c r="I198" s="26"/>
    </row>
    <row r="199" spans="1:11">
      <c r="A199" s="122" t="s">
        <v>299</v>
      </c>
      <c r="B199" s="250">
        <v>30000</v>
      </c>
      <c r="C199" s="108">
        <f>B199/B$168</f>
        <v>9.9751474435264137E-2</v>
      </c>
      <c r="D199" s="248"/>
      <c r="E199" s="248"/>
      <c r="H199" s="4"/>
      <c r="I199" s="26"/>
    </row>
    <row r="200" spans="1:11">
      <c r="A200" s="8"/>
      <c r="B200" s="180"/>
      <c r="C200" s="251"/>
      <c r="D200" s="248"/>
      <c r="E200" s="248"/>
      <c r="H200" s="4"/>
      <c r="I200" s="26"/>
    </row>
    <row r="201" spans="1:11">
      <c r="A201" s="30"/>
      <c r="B201" s="226"/>
      <c r="C201" s="239"/>
      <c r="D201" s="226"/>
      <c r="E201" s="239"/>
      <c r="F201" s="221"/>
      <c r="G201" s="239"/>
      <c r="H201" s="4"/>
      <c r="I201" s="26"/>
    </row>
    <row r="202" spans="1:11">
      <c r="A202" s="3" t="s">
        <v>782</v>
      </c>
      <c r="B202" s="226"/>
      <c r="C202" s="239"/>
      <c r="D202" s="226"/>
      <c r="E202" s="239"/>
      <c r="F202" s="221"/>
      <c r="G202" s="239"/>
      <c r="H202" s="4"/>
      <c r="I202" s="26"/>
    </row>
    <row r="203" spans="1:11">
      <c r="A203" s="3" t="s">
        <v>310</v>
      </c>
      <c r="B203" s="4"/>
      <c r="C203" s="4"/>
      <c r="D203" s="4"/>
      <c r="E203" s="4"/>
      <c r="F203" s="4"/>
      <c r="G203" s="4"/>
      <c r="H203" s="4"/>
      <c r="I203" s="26"/>
    </row>
    <row r="204" spans="1:11">
      <c r="A204" s="171" t="s">
        <v>217</v>
      </c>
      <c r="B204" s="171" t="s">
        <v>311</v>
      </c>
      <c r="C204" s="171" t="s">
        <v>312</v>
      </c>
      <c r="D204" s="171" t="s">
        <v>313</v>
      </c>
      <c r="E204" s="171" t="s">
        <v>314</v>
      </c>
      <c r="F204" s="171" t="s">
        <v>5</v>
      </c>
      <c r="G204" s="4"/>
      <c r="H204" s="4"/>
      <c r="I204" s="26"/>
    </row>
    <row r="205" spans="1:11">
      <c r="A205" s="5" t="s">
        <v>202</v>
      </c>
      <c r="B205" s="139" t="s">
        <v>315</v>
      </c>
      <c r="C205" s="181"/>
      <c r="D205" s="108"/>
      <c r="E205" s="108">
        <f>Hazell!F49</f>
        <v>12.356501909918439</v>
      </c>
      <c r="F205" s="108">
        <f>SUM(C205:E205)</f>
        <v>12.356501909918439</v>
      </c>
      <c r="G205" s="4"/>
      <c r="H205" s="4"/>
      <c r="I205" s="26"/>
    </row>
    <row r="206" spans="1:11">
      <c r="A206" s="5" t="s">
        <v>316</v>
      </c>
      <c r="B206" s="139" t="s">
        <v>315</v>
      </c>
      <c r="C206" s="108">
        <v>1.5</v>
      </c>
      <c r="D206" s="108"/>
      <c r="E206" s="108">
        <f>Hazell!F49</f>
        <v>12.356501909918439</v>
      </c>
      <c r="F206" s="108">
        <f t="shared" ref="F206:F208" si="32">SUM(C206:E206)</f>
        <v>13.856501909918439</v>
      </c>
      <c r="G206" s="4"/>
      <c r="H206" s="4"/>
      <c r="I206" s="26"/>
    </row>
    <row r="207" spans="1:11">
      <c r="A207" s="5" t="s">
        <v>203</v>
      </c>
      <c r="B207" s="139" t="s">
        <v>315</v>
      </c>
      <c r="C207" s="181"/>
      <c r="D207" s="108">
        <f>Hazell!D12</f>
        <v>6.6355200000000005</v>
      </c>
      <c r="E207" s="108">
        <f>Hazell!F49</f>
        <v>12.356501909918439</v>
      </c>
      <c r="F207" s="108">
        <f t="shared" si="32"/>
        <v>18.992021909918439</v>
      </c>
      <c r="G207" s="4"/>
      <c r="H207" s="4"/>
      <c r="I207" s="26"/>
      <c r="K207" s="81" t="s">
        <v>680</v>
      </c>
    </row>
    <row r="208" spans="1:11">
      <c r="A208" s="5" t="s">
        <v>204</v>
      </c>
      <c r="B208" s="139" t="s">
        <v>315</v>
      </c>
      <c r="C208" s="181"/>
      <c r="D208" s="108">
        <f>Hazell!D12</f>
        <v>6.6355200000000005</v>
      </c>
      <c r="E208" s="108">
        <f>Hazell!F49</f>
        <v>12.356501909918439</v>
      </c>
      <c r="F208" s="108">
        <f t="shared" si="32"/>
        <v>18.992021909918439</v>
      </c>
      <c r="G208" s="4"/>
      <c r="H208" s="4"/>
      <c r="I208" s="26"/>
      <c r="K208" s="81" t="s">
        <v>680</v>
      </c>
    </row>
    <row r="209" spans="1:11">
      <c r="A209" s="7"/>
      <c r="B209" s="8"/>
      <c r="C209" s="182"/>
      <c r="D209" s="180"/>
      <c r="E209" s="180"/>
      <c r="F209" s="180"/>
      <c r="G209" s="4"/>
      <c r="H209" s="4"/>
      <c r="I209" s="26"/>
    </row>
    <row r="210" spans="1:11">
      <c r="A210" s="9" t="s">
        <v>141</v>
      </c>
      <c r="B210" s="10">
        <v>7.4999999999999997E-2</v>
      </c>
      <c r="C210" s="90" t="s">
        <v>109</v>
      </c>
      <c r="D210" s="4"/>
      <c r="E210" s="4"/>
      <c r="F210" s="4"/>
      <c r="G210" s="4"/>
      <c r="H210" s="4"/>
      <c r="I210" s="26"/>
    </row>
    <row r="211" spans="1:11">
      <c r="A211" s="3" t="s">
        <v>110</v>
      </c>
      <c r="B211" s="10"/>
      <c r="C211" s="90"/>
      <c r="D211" s="4"/>
      <c r="E211" s="4"/>
      <c r="F211" s="4"/>
      <c r="G211" s="4"/>
      <c r="H211" s="4"/>
      <c r="I211" s="26"/>
    </row>
    <row r="212" spans="1:11">
      <c r="A212" s="9" t="s">
        <v>321</v>
      </c>
      <c r="B212" s="36">
        <v>120000</v>
      </c>
      <c r="C212" s="12" t="s">
        <v>18</v>
      </c>
      <c r="D212" s="4"/>
      <c r="E212" s="4"/>
      <c r="F212" s="4"/>
      <c r="G212" s="4"/>
      <c r="H212" s="4"/>
      <c r="I212" s="26"/>
    </row>
    <row r="213" spans="1:11">
      <c r="A213" s="3" t="s">
        <v>508</v>
      </c>
      <c r="B213" s="36"/>
      <c r="C213" s="12"/>
      <c r="D213" s="4"/>
      <c r="E213" s="4"/>
      <c r="F213" s="4"/>
      <c r="G213" s="4"/>
      <c r="H213" s="4"/>
      <c r="I213" s="26"/>
    </row>
    <row r="214" spans="1:11">
      <c r="A214" s="9" t="s">
        <v>637</v>
      </c>
      <c r="B214" s="36">
        <v>50000</v>
      </c>
      <c r="C214" s="12" t="s">
        <v>18</v>
      </c>
      <c r="D214" s="4"/>
      <c r="E214" s="4"/>
      <c r="F214" s="4"/>
      <c r="G214" s="4"/>
      <c r="H214" s="4"/>
      <c r="I214" s="26"/>
      <c r="K214" s="81" t="s">
        <v>524</v>
      </c>
    </row>
    <row r="215" spans="1:11">
      <c r="A215" s="9" t="s">
        <v>599</v>
      </c>
      <c r="B215" s="36"/>
      <c r="C215" s="12"/>
      <c r="D215" s="4"/>
      <c r="E215" s="4"/>
      <c r="F215" s="4"/>
      <c r="G215" s="4"/>
      <c r="H215" s="4"/>
      <c r="I215" s="26"/>
      <c r="K215" s="81"/>
    </row>
    <row r="216" spans="1:11">
      <c r="A216" s="9" t="s">
        <v>644</v>
      </c>
      <c r="B216" s="36">
        <v>1900</v>
      </c>
      <c r="C216" s="12" t="s">
        <v>625</v>
      </c>
      <c r="D216" s="4"/>
      <c r="E216" s="4"/>
      <c r="F216" s="4"/>
      <c r="G216" s="4"/>
      <c r="H216" s="4"/>
      <c r="I216" s="26"/>
      <c r="K216" s="81" t="s">
        <v>626</v>
      </c>
    </row>
    <row r="217" spans="1:11">
      <c r="A217" s="9" t="s">
        <v>645</v>
      </c>
      <c r="B217" s="36">
        <v>50</v>
      </c>
      <c r="C217" s="12" t="s">
        <v>627</v>
      </c>
      <c r="D217" s="4"/>
      <c r="E217" s="4"/>
      <c r="F217" s="4"/>
      <c r="G217" s="4"/>
      <c r="H217" s="4"/>
      <c r="I217" s="26"/>
      <c r="K217" s="81" t="s">
        <v>626</v>
      </c>
    </row>
    <row r="218" spans="1:11">
      <c r="A218" s="9" t="s">
        <v>650</v>
      </c>
      <c r="B218" s="36">
        <v>4</v>
      </c>
      <c r="C218" s="12" t="s">
        <v>636</v>
      </c>
      <c r="D218" s="4"/>
      <c r="E218" s="4"/>
      <c r="F218" s="4"/>
      <c r="G218" s="4"/>
      <c r="H218" s="4"/>
      <c r="I218" s="26"/>
      <c r="K218" s="81" t="s">
        <v>626</v>
      </c>
    </row>
    <row r="219" spans="1:11">
      <c r="A219" s="9" t="s">
        <v>646</v>
      </c>
      <c r="B219" s="36">
        <v>950</v>
      </c>
      <c r="C219" s="90" t="s">
        <v>631</v>
      </c>
      <c r="D219" s="4"/>
      <c r="E219" s="4"/>
      <c r="F219" s="4"/>
      <c r="G219" s="4"/>
      <c r="H219" s="4"/>
      <c r="I219" s="26"/>
      <c r="K219" s="81" t="s">
        <v>626</v>
      </c>
    </row>
    <row r="220" spans="1:11">
      <c r="A220" s="9" t="s">
        <v>647</v>
      </c>
      <c r="B220" s="36">
        <f>550</f>
        <v>550</v>
      </c>
      <c r="C220" s="90" t="s">
        <v>630</v>
      </c>
      <c r="D220" s="4"/>
      <c r="E220" s="4"/>
      <c r="F220" s="4"/>
      <c r="G220" s="4"/>
      <c r="H220" s="4"/>
      <c r="I220" s="26"/>
      <c r="K220" s="81" t="s">
        <v>626</v>
      </c>
    </row>
    <row r="221" spans="1:11">
      <c r="A221" s="9" t="s">
        <v>638</v>
      </c>
      <c r="B221" s="36">
        <v>72000</v>
      </c>
      <c r="C221" s="12" t="s">
        <v>18</v>
      </c>
      <c r="D221" s="4"/>
      <c r="E221" s="4"/>
      <c r="F221" s="4"/>
      <c r="G221" s="4"/>
      <c r="H221" s="4"/>
      <c r="I221" s="26"/>
      <c r="K221" s="81" t="s">
        <v>524</v>
      </c>
    </row>
    <row r="222" spans="1:11">
      <c r="A222" s="9"/>
      <c r="B222" s="36"/>
      <c r="C222" s="12"/>
      <c r="D222" s="37"/>
      <c r="E222" s="12"/>
      <c r="F222" s="4"/>
      <c r="G222" s="4"/>
      <c r="H222" s="4"/>
      <c r="I222" s="26"/>
      <c r="K222" s="81"/>
    </row>
    <row r="223" spans="1:11">
      <c r="A223" s="3" t="s">
        <v>785</v>
      </c>
      <c r="B223" s="36"/>
      <c r="C223" s="12"/>
      <c r="D223" s="37"/>
      <c r="E223" s="12"/>
      <c r="F223" s="4"/>
      <c r="G223" s="4"/>
      <c r="H223" s="4"/>
      <c r="I223" s="26"/>
      <c r="K223" s="81"/>
    </row>
    <row r="224" spans="1:11">
      <c r="A224" s="9" t="s">
        <v>366</v>
      </c>
      <c r="B224" s="184">
        <v>0.10100000000000001</v>
      </c>
      <c r="C224" s="12" t="s">
        <v>367</v>
      </c>
      <c r="D224" s="37"/>
      <c r="E224" s="12"/>
      <c r="F224" s="4"/>
      <c r="G224" s="4"/>
      <c r="H224" s="4"/>
      <c r="I224" s="26"/>
      <c r="K224" s="81"/>
    </row>
    <row r="225" spans="1:11">
      <c r="A225" s="9" t="s">
        <v>504</v>
      </c>
      <c r="B225" s="36"/>
      <c r="C225" s="12" t="s">
        <v>505</v>
      </c>
      <c r="D225" s="37">
        <v>13.75</v>
      </c>
      <c r="E225" s="12" t="s">
        <v>506</v>
      </c>
      <c r="F225" s="4"/>
      <c r="G225" s="4"/>
      <c r="H225" s="4"/>
      <c r="I225" s="26"/>
      <c r="K225" s="81" t="s">
        <v>507</v>
      </c>
    </row>
    <row r="226" spans="1:11">
      <c r="A226" s="9" t="s">
        <v>559</v>
      </c>
      <c r="B226" s="36">
        <v>30000</v>
      </c>
      <c r="C226" s="12" t="s">
        <v>576</v>
      </c>
      <c r="D226" s="4"/>
      <c r="E226" s="4"/>
      <c r="F226" s="4"/>
      <c r="G226" s="4"/>
      <c r="H226" s="4"/>
      <c r="I226" s="26"/>
      <c r="K226" s="81" t="s">
        <v>566</v>
      </c>
    </row>
    <row r="227" spans="1:11">
      <c r="A227" s="9"/>
      <c r="B227" s="36"/>
      <c r="C227" s="12"/>
      <c r="D227" s="37"/>
      <c r="E227" s="12"/>
      <c r="F227" s="4"/>
      <c r="G227" s="4"/>
      <c r="H227" s="4"/>
      <c r="I227" s="26"/>
      <c r="K227" s="81"/>
    </row>
    <row r="228" spans="1:11">
      <c r="A228" s="3" t="s">
        <v>784</v>
      </c>
      <c r="B228" s="36"/>
      <c r="C228" s="12"/>
      <c r="D228" s="4"/>
      <c r="E228" s="4"/>
      <c r="F228" s="4"/>
      <c r="G228" s="4"/>
      <c r="H228" s="4"/>
      <c r="I228" s="26"/>
    </row>
    <row r="229" spans="1:11">
      <c r="A229" s="9" t="s">
        <v>320</v>
      </c>
      <c r="B229" s="27">
        <v>0.2</v>
      </c>
      <c r="C229" s="12"/>
      <c r="D229" s="4"/>
      <c r="E229" s="4"/>
      <c r="F229" s="4"/>
      <c r="G229" s="4"/>
      <c r="H229" s="4"/>
      <c r="I229" s="26"/>
    </row>
    <row r="230" spans="1:11">
      <c r="A230" s="32"/>
      <c r="B230" s="33"/>
      <c r="C230" s="34"/>
      <c r="D230" s="34"/>
      <c r="E230" s="34"/>
      <c r="F230" s="34"/>
      <c r="G230" s="34"/>
      <c r="H230" s="34"/>
      <c r="I230" s="35"/>
    </row>
    <row r="231" spans="1:11">
      <c r="A231" s="4"/>
      <c r="B231" s="10"/>
      <c r="C231" s="4"/>
      <c r="D231" s="10"/>
      <c r="E231" s="4"/>
      <c r="F231" s="4"/>
      <c r="G231" s="4"/>
      <c r="H231" s="4"/>
      <c r="I231" s="4"/>
    </row>
    <row r="232" spans="1:11">
      <c r="A232" s="34"/>
      <c r="B232" s="33"/>
      <c r="C232" s="34"/>
      <c r="D232" s="33"/>
      <c r="E232" s="34"/>
      <c r="F232" s="34"/>
      <c r="G232" s="34"/>
      <c r="H232" s="34"/>
      <c r="I232" s="34"/>
    </row>
    <row r="233" spans="1:11">
      <c r="A233" s="13" t="s">
        <v>0</v>
      </c>
      <c r="B233" s="14"/>
      <c r="C233" s="14"/>
      <c r="D233" s="14"/>
      <c r="E233" s="14"/>
      <c r="F233" s="14"/>
      <c r="G233" s="14"/>
      <c r="H233" s="14"/>
      <c r="I233" s="15"/>
    </row>
    <row r="234" spans="1:11">
      <c r="A234" s="16" t="str">
        <f>Title!$F$10</f>
        <v>ARTHUR RIVER MAGNESITE PROJECT</v>
      </c>
      <c r="B234" s="17"/>
      <c r="C234" s="17"/>
      <c r="D234" s="17"/>
      <c r="E234" s="17"/>
      <c r="F234" s="17"/>
      <c r="G234" s="17"/>
      <c r="H234" s="17"/>
      <c r="I234" s="18"/>
    </row>
    <row r="235" spans="1:11">
      <c r="A235" s="16" t="str">
        <f>Title!$F$12</f>
        <v>ORDER OF MAGNITUDE COST STUDY: CALCINE PRODUCTION ONLY</v>
      </c>
      <c r="B235" s="17"/>
      <c r="C235" s="17"/>
      <c r="D235" s="17"/>
      <c r="E235" s="17"/>
      <c r="F235" s="17"/>
      <c r="G235" s="17"/>
      <c r="H235" s="17"/>
      <c r="I235" s="18"/>
    </row>
    <row r="236" spans="1:11">
      <c r="A236" s="19"/>
      <c r="B236" s="17"/>
      <c r="C236" s="17"/>
      <c r="D236" s="17"/>
      <c r="E236" s="17"/>
      <c r="F236" s="17"/>
      <c r="G236" s="17"/>
      <c r="H236" s="17" t="str">
        <f>Title!$F$19</f>
        <v>3 October 2011</v>
      </c>
      <c r="I236" s="18"/>
    </row>
    <row r="237" spans="1:11">
      <c r="A237" s="20" t="s">
        <v>749</v>
      </c>
      <c r="B237" s="21"/>
      <c r="C237" s="21"/>
      <c r="D237" s="21"/>
      <c r="E237" s="21"/>
      <c r="F237" s="21"/>
      <c r="G237" s="21"/>
      <c r="H237" s="21"/>
      <c r="I237" s="22"/>
    </row>
    <row r="238" spans="1:11">
      <c r="A238" s="30"/>
      <c r="B238" s="10"/>
      <c r="C238" s="4"/>
      <c r="D238" s="10"/>
      <c r="E238" s="4"/>
      <c r="F238" s="4"/>
      <c r="G238" s="4"/>
      <c r="H238" s="4"/>
      <c r="I238" s="26"/>
    </row>
    <row r="239" spans="1:11">
      <c r="A239" s="3" t="s">
        <v>335</v>
      </c>
      <c r="B239" s="27"/>
      <c r="C239" s="12"/>
      <c r="D239" s="4"/>
      <c r="E239" s="4"/>
      <c r="F239" s="4"/>
      <c r="G239" s="4"/>
      <c r="H239" s="4"/>
      <c r="I239" s="26"/>
    </row>
    <row r="240" spans="1:11">
      <c r="A240" s="9" t="s">
        <v>332</v>
      </c>
      <c r="B240" s="37">
        <v>0.5</v>
      </c>
      <c r="C240" s="12" t="s">
        <v>336</v>
      </c>
      <c r="D240" s="4"/>
      <c r="E240" s="4"/>
      <c r="F240" s="4"/>
      <c r="G240" s="4"/>
      <c r="H240" s="4"/>
      <c r="I240" s="26"/>
    </row>
    <row r="241" spans="1:11">
      <c r="A241" s="9" t="s">
        <v>337</v>
      </c>
      <c r="B241" s="37">
        <v>11</v>
      </c>
      <c r="C241" s="12" t="s">
        <v>338</v>
      </c>
      <c r="D241" s="4"/>
      <c r="E241" s="4"/>
      <c r="F241" s="4"/>
      <c r="G241" s="4"/>
      <c r="H241" s="4"/>
      <c r="I241" s="26"/>
    </row>
    <row r="242" spans="1:11">
      <c r="A242" s="9" t="s">
        <v>331</v>
      </c>
      <c r="B242" s="37">
        <v>3.42</v>
      </c>
      <c r="C242" s="12" t="s">
        <v>345</v>
      </c>
      <c r="D242" s="4"/>
      <c r="E242" s="37">
        <f>'Phys Input'!B79/'Phys Input'!B78*B242</f>
        <v>5.13</v>
      </c>
      <c r="F242" s="12" t="s">
        <v>338</v>
      </c>
      <c r="G242" s="4"/>
      <c r="H242" s="4"/>
      <c r="I242" s="26"/>
    </row>
    <row r="243" spans="1:11">
      <c r="A243" s="3" t="s">
        <v>113</v>
      </c>
      <c r="B243" s="36"/>
      <c r="C243" s="12"/>
      <c r="D243" s="4"/>
      <c r="E243" s="37"/>
      <c r="F243" s="12"/>
      <c r="G243" s="4"/>
      <c r="H243" s="4"/>
      <c r="I243" s="26"/>
    </row>
    <row r="244" spans="1:11">
      <c r="A244" s="9" t="s">
        <v>329</v>
      </c>
      <c r="B244" s="27">
        <v>0.1</v>
      </c>
      <c r="C244" s="12"/>
      <c r="D244" s="4"/>
      <c r="E244" s="37"/>
      <c r="F244" s="12"/>
      <c r="G244" s="4"/>
      <c r="H244" s="4"/>
      <c r="I244" s="26"/>
    </row>
    <row r="245" spans="1:11">
      <c r="A245" s="9"/>
      <c r="B245" s="27"/>
      <c r="C245" s="12"/>
      <c r="D245" s="4"/>
      <c r="E245" s="4"/>
      <c r="F245" s="4"/>
      <c r="G245" s="4"/>
      <c r="H245" s="4"/>
      <c r="I245" s="26"/>
    </row>
    <row r="246" spans="1:11">
      <c r="A246" s="9"/>
      <c r="B246" s="27"/>
      <c r="C246" s="12"/>
      <c r="D246" s="4"/>
      <c r="E246" s="4"/>
      <c r="F246" s="4"/>
      <c r="G246" s="4"/>
      <c r="H246" s="4"/>
      <c r="I246" s="26"/>
    </row>
    <row r="247" spans="1:11">
      <c r="A247" s="3" t="s">
        <v>317</v>
      </c>
      <c r="B247" s="27"/>
      <c r="C247" s="12"/>
      <c r="D247" s="4"/>
      <c r="E247" s="4"/>
      <c r="F247" s="4"/>
      <c r="G247" s="4"/>
      <c r="H247" s="4"/>
      <c r="I247" s="26"/>
    </row>
    <row r="248" spans="1:11">
      <c r="A248" s="9" t="s">
        <v>111</v>
      </c>
      <c r="B248" s="36">
        <v>2100000</v>
      </c>
      <c r="C248" s="12" t="s">
        <v>18</v>
      </c>
      <c r="D248" s="4"/>
      <c r="E248" s="4"/>
      <c r="F248" s="4"/>
      <c r="G248" s="4"/>
      <c r="H248" s="4"/>
      <c r="I248" s="26"/>
      <c r="K248" s="81" t="s">
        <v>492</v>
      </c>
    </row>
    <row r="249" spans="1:11">
      <c r="A249" s="9" t="s">
        <v>112</v>
      </c>
      <c r="B249" s="36">
        <v>600000</v>
      </c>
      <c r="C249" s="12" t="s">
        <v>18</v>
      </c>
      <c r="D249" s="4"/>
      <c r="E249" s="4"/>
      <c r="F249" s="4"/>
      <c r="G249" s="4"/>
      <c r="H249" s="4"/>
      <c r="I249" s="26"/>
      <c r="K249" s="81" t="s">
        <v>492</v>
      </c>
    </row>
    <row r="250" spans="1:11">
      <c r="A250" s="3" t="s">
        <v>116</v>
      </c>
      <c r="B250" s="36"/>
      <c r="C250" s="12"/>
      <c r="D250" s="4"/>
      <c r="E250" s="4"/>
      <c r="F250" s="4"/>
      <c r="G250" s="4"/>
      <c r="H250" s="4"/>
      <c r="I250" s="26"/>
    </row>
    <row r="251" spans="1:11">
      <c r="A251" s="9" t="s">
        <v>347</v>
      </c>
      <c r="B251" s="37">
        <v>4</v>
      </c>
      <c r="C251" s="12" t="s">
        <v>352</v>
      </c>
      <c r="D251" s="4"/>
      <c r="E251" s="4"/>
      <c r="F251" s="4"/>
      <c r="G251" s="4"/>
      <c r="H251" s="4"/>
      <c r="I251" s="26"/>
      <c r="K251" t="s">
        <v>360</v>
      </c>
    </row>
    <row r="252" spans="1:11">
      <c r="A252" s="9" t="s">
        <v>499</v>
      </c>
      <c r="B252" s="37">
        <v>1.5</v>
      </c>
      <c r="C252" s="12" t="s">
        <v>115</v>
      </c>
      <c r="D252" s="4"/>
      <c r="E252" s="4"/>
      <c r="F252" s="4"/>
      <c r="G252" s="4"/>
      <c r="H252" s="4"/>
      <c r="I252" s="26"/>
      <c r="K252" s="81" t="s">
        <v>227</v>
      </c>
    </row>
    <row r="253" spans="1:11">
      <c r="A253" s="9" t="s">
        <v>351</v>
      </c>
      <c r="B253" s="37">
        <v>5</v>
      </c>
      <c r="C253" s="12" t="s">
        <v>115</v>
      </c>
      <c r="D253" s="4"/>
      <c r="E253" s="4"/>
      <c r="F253" s="4"/>
      <c r="G253" s="4"/>
      <c r="H253" s="4"/>
      <c r="I253" s="26"/>
      <c r="K253" s="81" t="s">
        <v>227</v>
      </c>
    </row>
    <row r="254" spans="1:11">
      <c r="A254" s="3" t="s">
        <v>117</v>
      </c>
      <c r="B254" s="37"/>
      <c r="C254" s="12"/>
      <c r="D254" s="4"/>
      <c r="E254" s="4"/>
      <c r="F254" s="4"/>
      <c r="G254" s="4"/>
      <c r="H254" s="4"/>
      <c r="I254" s="26"/>
    </row>
    <row r="255" spans="1:11">
      <c r="A255" s="9" t="s">
        <v>80</v>
      </c>
      <c r="B255" s="36">
        <v>500000</v>
      </c>
      <c r="C255" s="12" t="s">
        <v>18</v>
      </c>
      <c r="D255" s="4"/>
      <c r="E255" s="4"/>
      <c r="F255" s="4"/>
      <c r="G255" s="4"/>
      <c r="H255" s="4"/>
      <c r="I255" s="26"/>
      <c r="K255" s="81" t="s">
        <v>227</v>
      </c>
    </row>
    <row r="256" spans="1:11">
      <c r="A256" s="3" t="s">
        <v>118</v>
      </c>
      <c r="B256" s="36"/>
      <c r="C256" s="12"/>
      <c r="D256" s="4"/>
      <c r="E256" s="4"/>
      <c r="F256" s="4"/>
      <c r="G256" s="4"/>
      <c r="H256" s="4"/>
      <c r="I256" s="26"/>
    </row>
    <row r="257" spans="1:11">
      <c r="A257" s="9" t="s">
        <v>80</v>
      </c>
      <c r="B257" s="36">
        <v>180000</v>
      </c>
      <c r="C257" s="12" t="s">
        <v>18</v>
      </c>
      <c r="D257" s="4"/>
      <c r="E257" s="4"/>
      <c r="F257" s="4"/>
      <c r="G257" s="4"/>
      <c r="H257" s="4"/>
      <c r="I257" s="26"/>
      <c r="K257" s="81" t="s">
        <v>227</v>
      </c>
    </row>
    <row r="258" spans="1:11">
      <c r="A258" s="3" t="s">
        <v>119</v>
      </c>
      <c r="B258" s="36"/>
      <c r="C258" s="12"/>
      <c r="D258" s="4"/>
      <c r="E258" s="4"/>
      <c r="F258" s="4"/>
      <c r="G258" s="4"/>
      <c r="H258" s="4"/>
      <c r="I258" s="26"/>
    </row>
    <row r="259" spans="1:11">
      <c r="A259" s="9" t="s">
        <v>366</v>
      </c>
      <c r="B259" s="184">
        <v>0.10100000000000001</v>
      </c>
      <c r="C259" s="12" t="s">
        <v>367</v>
      </c>
      <c r="D259" s="4"/>
      <c r="E259" s="4"/>
      <c r="F259" s="4"/>
      <c r="G259" s="4"/>
      <c r="H259" s="4"/>
      <c r="I259" s="26"/>
    </row>
    <row r="260" spans="1:11">
      <c r="A260" s="9" t="s">
        <v>351</v>
      </c>
      <c r="B260" s="36">
        <v>300000</v>
      </c>
      <c r="C260" s="12" t="s">
        <v>18</v>
      </c>
      <c r="D260" s="4"/>
      <c r="E260" s="4"/>
      <c r="F260" s="4"/>
      <c r="G260" s="4"/>
      <c r="H260" s="4"/>
      <c r="I260" s="26"/>
      <c r="K260" s="81" t="s">
        <v>227</v>
      </c>
    </row>
    <row r="261" spans="1:11">
      <c r="A261" s="3" t="s">
        <v>113</v>
      </c>
      <c r="B261" s="36"/>
      <c r="C261" s="12"/>
      <c r="D261" s="4"/>
      <c r="E261" s="4"/>
      <c r="F261" s="4"/>
      <c r="G261" s="4"/>
      <c r="H261" s="4"/>
      <c r="I261" s="26"/>
    </row>
    <row r="262" spans="1:11">
      <c r="A262" s="9" t="s">
        <v>333</v>
      </c>
      <c r="B262" s="27">
        <v>0.2</v>
      </c>
      <c r="C262" s="4"/>
      <c r="D262" s="4"/>
      <c r="E262" s="4"/>
      <c r="F262" s="4"/>
      <c r="G262" s="4"/>
      <c r="H262" s="4"/>
      <c r="I262" s="26"/>
    </row>
    <row r="263" spans="1:11">
      <c r="A263" s="9"/>
      <c r="B263" s="27"/>
      <c r="C263" s="4"/>
      <c r="D263" s="4"/>
      <c r="E263" s="4"/>
      <c r="F263" s="4"/>
      <c r="G263" s="4"/>
      <c r="H263" s="4"/>
      <c r="I263" s="26"/>
    </row>
    <row r="264" spans="1:11">
      <c r="A264" s="9"/>
      <c r="B264" s="27"/>
      <c r="C264" s="4"/>
      <c r="D264" s="4"/>
      <c r="E264" s="4"/>
      <c r="F264" s="4"/>
      <c r="G264" s="4"/>
      <c r="H264" s="4"/>
      <c r="I264" s="26"/>
    </row>
    <row r="265" spans="1:11">
      <c r="A265" s="3" t="s">
        <v>487</v>
      </c>
      <c r="B265" s="27"/>
      <c r="C265" s="4"/>
      <c r="D265" s="4"/>
      <c r="E265" s="4"/>
      <c r="F265" s="4"/>
      <c r="G265" s="4"/>
      <c r="H265" s="4"/>
      <c r="I265" s="26"/>
    </row>
    <row r="266" spans="1:11">
      <c r="A266" s="9" t="s">
        <v>501</v>
      </c>
      <c r="B266" s="36">
        <v>100000</v>
      </c>
      <c r="C266" s="12" t="s">
        <v>18</v>
      </c>
      <c r="D266" s="4"/>
      <c r="E266" s="4"/>
      <c r="F266" s="4"/>
      <c r="G266" s="4"/>
      <c r="H266" s="4"/>
      <c r="I266" s="26"/>
      <c r="K266" s="81" t="s">
        <v>566</v>
      </c>
    </row>
    <row r="267" spans="1:11">
      <c r="A267" s="9" t="s">
        <v>502</v>
      </c>
      <c r="B267" s="36">
        <v>85000</v>
      </c>
      <c r="C267" s="12" t="s">
        <v>18</v>
      </c>
      <c r="D267" s="4"/>
      <c r="E267" s="4"/>
      <c r="F267" s="4"/>
      <c r="G267" s="4"/>
      <c r="H267" s="4"/>
      <c r="I267" s="26"/>
      <c r="K267" s="81" t="s">
        <v>589</v>
      </c>
    </row>
    <row r="268" spans="1:11">
      <c r="A268" s="3" t="s">
        <v>118</v>
      </c>
      <c r="B268" s="27"/>
      <c r="C268" s="4"/>
      <c r="D268" s="4"/>
      <c r="E268" s="4"/>
      <c r="F268" s="4"/>
      <c r="G268" s="4"/>
      <c r="H268" s="4"/>
      <c r="I268" s="26"/>
    </row>
    <row r="269" spans="1:11">
      <c r="A269" s="9" t="s">
        <v>414</v>
      </c>
      <c r="B269" s="36">
        <v>15000</v>
      </c>
      <c r="C269" s="12" t="s">
        <v>18</v>
      </c>
      <c r="D269" s="4"/>
      <c r="E269" s="4"/>
      <c r="F269" s="4"/>
      <c r="G269" s="4"/>
      <c r="H269" s="4"/>
      <c r="I269" s="26"/>
      <c r="K269" s="81" t="s">
        <v>590</v>
      </c>
    </row>
    <row r="270" spans="1:11">
      <c r="A270" s="9" t="s">
        <v>587</v>
      </c>
      <c r="B270" s="36">
        <v>60000</v>
      </c>
      <c r="C270" s="12" t="s">
        <v>18</v>
      </c>
      <c r="D270" s="4"/>
      <c r="E270" s="4"/>
      <c r="F270" s="4"/>
      <c r="G270" s="4"/>
      <c r="H270" s="4"/>
      <c r="I270" s="26"/>
      <c r="K270" s="81" t="s">
        <v>588</v>
      </c>
    </row>
    <row r="271" spans="1:11">
      <c r="A271" s="9" t="s">
        <v>586</v>
      </c>
      <c r="B271" s="36">
        <v>40000</v>
      </c>
      <c r="C271" s="12" t="s">
        <v>18</v>
      </c>
      <c r="D271" s="4"/>
      <c r="E271" s="4"/>
      <c r="F271" s="4"/>
      <c r="G271" s="4"/>
      <c r="H271" s="4"/>
      <c r="I271" s="26"/>
      <c r="K271" s="81" t="s">
        <v>588</v>
      </c>
    </row>
    <row r="272" spans="1:11">
      <c r="A272" s="9" t="s">
        <v>503</v>
      </c>
      <c r="B272" s="10">
        <v>5.0000000000000001E-3</v>
      </c>
      <c r="C272" s="90" t="s">
        <v>591</v>
      </c>
      <c r="D272" s="4"/>
      <c r="E272" s="4"/>
      <c r="F272" s="4"/>
      <c r="G272" s="4"/>
      <c r="H272" s="4"/>
      <c r="I272" s="26"/>
      <c r="K272" s="81" t="s">
        <v>592</v>
      </c>
    </row>
    <row r="273" spans="1:11">
      <c r="A273" s="9" t="s">
        <v>80</v>
      </c>
      <c r="B273" s="36">
        <f>SUM(B269:B272)</f>
        <v>115000.005</v>
      </c>
      <c r="C273" s="12" t="s">
        <v>18</v>
      </c>
      <c r="D273" s="4"/>
      <c r="E273" s="4"/>
      <c r="F273" s="4"/>
      <c r="G273" s="4"/>
      <c r="H273" s="4"/>
      <c r="I273" s="26"/>
    </row>
    <row r="274" spans="1:11">
      <c r="A274" s="3" t="s">
        <v>565</v>
      </c>
      <c r="B274" s="27"/>
      <c r="C274" s="4"/>
      <c r="D274" s="4"/>
      <c r="E274" s="4"/>
      <c r="F274" s="4"/>
      <c r="G274" s="4"/>
      <c r="H274" s="4"/>
      <c r="I274" s="26"/>
    </row>
    <row r="275" spans="1:11">
      <c r="A275" s="9" t="s">
        <v>80</v>
      </c>
      <c r="B275" s="36">
        <v>30000</v>
      </c>
      <c r="C275" s="12" t="s">
        <v>576</v>
      </c>
      <c r="D275" s="4"/>
      <c r="E275" s="4"/>
      <c r="F275" s="4"/>
      <c r="G275" s="4"/>
      <c r="H275" s="4"/>
      <c r="I275" s="26"/>
      <c r="K275" s="81" t="s">
        <v>566</v>
      </c>
    </row>
    <row r="276" spans="1:11">
      <c r="A276" s="32"/>
      <c r="B276" s="33"/>
      <c r="C276" s="34"/>
      <c r="D276" s="34"/>
      <c r="E276" s="34"/>
      <c r="F276" s="34"/>
      <c r="G276" s="34"/>
      <c r="H276" s="34"/>
      <c r="I276" s="35"/>
    </row>
    <row r="277" spans="1:11">
      <c r="A277" s="12"/>
      <c r="B277" s="10"/>
      <c r="C277" s="4"/>
      <c r="D277" s="4"/>
      <c r="E277" s="4"/>
      <c r="F277" s="4"/>
      <c r="G277" s="4"/>
      <c r="H277" s="4"/>
      <c r="I277" s="4"/>
    </row>
    <row r="279" spans="1:11">
      <c r="A279" s="13" t="s">
        <v>0</v>
      </c>
      <c r="B279" s="14"/>
      <c r="C279" s="14"/>
      <c r="D279" s="14"/>
      <c r="E279" s="14"/>
      <c r="F279" s="14"/>
      <c r="G279" s="14"/>
      <c r="H279" s="14"/>
      <c r="I279" s="15"/>
    </row>
    <row r="280" spans="1:11">
      <c r="A280" s="16" t="str">
        <f>Title!$F$10</f>
        <v>ARTHUR RIVER MAGNESITE PROJECT</v>
      </c>
      <c r="B280" s="17"/>
      <c r="C280" s="17"/>
      <c r="D280" s="17"/>
      <c r="E280" s="17"/>
      <c r="F280" s="17"/>
      <c r="G280" s="17"/>
      <c r="H280" s="17"/>
      <c r="I280" s="18"/>
    </row>
    <row r="281" spans="1:11">
      <c r="A281" s="16" t="str">
        <f>Title!$F$12</f>
        <v>ORDER OF MAGNITUDE COST STUDY: CALCINE PRODUCTION ONLY</v>
      </c>
      <c r="B281" s="17"/>
      <c r="C281" s="17"/>
      <c r="D281" s="17"/>
      <c r="E281" s="17"/>
      <c r="F281" s="17"/>
      <c r="G281" s="17"/>
      <c r="H281" s="17"/>
      <c r="I281" s="18"/>
    </row>
    <row r="282" spans="1:11">
      <c r="A282" s="19"/>
      <c r="B282" s="17"/>
      <c r="C282" s="17"/>
      <c r="D282" s="17"/>
      <c r="E282" s="17"/>
      <c r="F282" s="17"/>
      <c r="G282" s="17"/>
      <c r="H282" s="17" t="str">
        <f>Title!$F$19</f>
        <v>3 October 2011</v>
      </c>
      <c r="I282" s="18"/>
    </row>
    <row r="283" spans="1:11">
      <c r="A283" s="20" t="s">
        <v>667</v>
      </c>
      <c r="B283" s="21"/>
      <c r="C283" s="21"/>
      <c r="D283" s="21"/>
      <c r="E283" s="21"/>
      <c r="F283" s="21"/>
      <c r="G283" s="21"/>
      <c r="H283" s="21"/>
      <c r="I283" s="22"/>
    </row>
    <row r="284" spans="1:11">
      <c r="A284" s="9"/>
      <c r="B284" s="10"/>
      <c r="C284" s="90"/>
      <c r="D284" s="4"/>
      <c r="E284" s="4"/>
      <c r="F284" s="4"/>
      <c r="G284" s="4"/>
      <c r="H284" s="4"/>
      <c r="I284" s="26"/>
    </row>
    <row r="285" spans="1:11">
      <c r="A285" s="3" t="s">
        <v>444</v>
      </c>
      <c r="B285" s="4"/>
      <c r="C285" s="4"/>
      <c r="D285" s="4"/>
      <c r="E285" s="4"/>
      <c r="F285" s="4"/>
      <c r="G285" s="4"/>
      <c r="H285" s="4"/>
      <c r="I285" s="26"/>
    </row>
    <row r="286" spans="1:11">
      <c r="A286" s="9" t="s">
        <v>330</v>
      </c>
      <c r="B286" s="37">
        <v>10.57</v>
      </c>
      <c r="C286" s="12" t="s">
        <v>449</v>
      </c>
      <c r="D286" s="4"/>
      <c r="E286" s="4"/>
      <c r="F286" s="4"/>
      <c r="G286" s="4"/>
      <c r="H286" s="4"/>
      <c r="I286" s="26"/>
      <c r="K286" s="81" t="s">
        <v>677</v>
      </c>
    </row>
    <row r="287" spans="1:11">
      <c r="A287" s="9" t="s">
        <v>669</v>
      </c>
      <c r="B287" s="37">
        <f>48*0.05</f>
        <v>2.4000000000000004</v>
      </c>
      <c r="C287" s="12" t="s">
        <v>449</v>
      </c>
      <c r="D287" s="4"/>
      <c r="E287" s="4"/>
      <c r="F287" s="4"/>
      <c r="G287" s="4"/>
      <c r="H287" s="4"/>
      <c r="I287" s="26"/>
      <c r="K287" t="s">
        <v>653</v>
      </c>
    </row>
    <row r="288" spans="1:11">
      <c r="A288" s="9" t="s">
        <v>80</v>
      </c>
      <c r="B288" s="37">
        <f>SUM(B286:B287)</f>
        <v>12.97</v>
      </c>
      <c r="C288" s="12" t="s">
        <v>449</v>
      </c>
      <c r="D288" s="4"/>
      <c r="E288" s="4"/>
      <c r="F288" s="4"/>
      <c r="G288" s="4"/>
      <c r="H288" s="4"/>
      <c r="I288" s="26"/>
    </row>
    <row r="289" spans="1:11">
      <c r="A289" s="9"/>
      <c r="B289" s="37"/>
      <c r="C289" s="12"/>
      <c r="D289" s="4"/>
      <c r="E289" s="4"/>
      <c r="F289" s="4"/>
      <c r="G289" s="4"/>
      <c r="H289" s="4"/>
      <c r="I289" s="26"/>
    </row>
    <row r="290" spans="1:11">
      <c r="A290" s="3" t="s">
        <v>445</v>
      </c>
      <c r="B290" s="4"/>
      <c r="C290" s="4"/>
      <c r="D290" s="4"/>
      <c r="E290" s="4"/>
      <c r="F290" s="4"/>
      <c r="G290" s="4"/>
      <c r="H290" s="4"/>
      <c r="I290" s="26"/>
    </row>
    <row r="291" spans="1:11">
      <c r="A291" s="9" t="s">
        <v>670</v>
      </c>
      <c r="B291" s="219">
        <f>65000/'Phys Input'!$B$19</f>
        <v>0.65</v>
      </c>
      <c r="C291" s="12" t="s">
        <v>666</v>
      </c>
      <c r="D291" s="4"/>
      <c r="E291" s="4"/>
      <c r="F291" s="4"/>
      <c r="G291" s="4"/>
      <c r="H291" s="4"/>
      <c r="I291" s="26"/>
      <c r="K291" s="81" t="s">
        <v>677</v>
      </c>
    </row>
    <row r="292" spans="1:11">
      <c r="A292" s="9" t="s">
        <v>671</v>
      </c>
      <c r="B292" s="36">
        <v>100</v>
      </c>
      <c r="C292" s="90" t="s">
        <v>676</v>
      </c>
      <c r="D292" s="4"/>
      <c r="E292" s="4"/>
      <c r="F292" s="4"/>
      <c r="G292" s="4"/>
      <c r="H292" s="4"/>
      <c r="I292" s="26"/>
      <c r="K292" s="81" t="s">
        <v>677</v>
      </c>
    </row>
    <row r="293" spans="1:11">
      <c r="A293" s="9" t="s">
        <v>672</v>
      </c>
      <c r="B293" s="37">
        <v>12</v>
      </c>
      <c r="C293" s="12" t="s">
        <v>449</v>
      </c>
      <c r="D293" s="4"/>
      <c r="E293" s="4"/>
      <c r="F293" s="4"/>
      <c r="G293" s="4"/>
      <c r="H293" s="4"/>
      <c r="I293" s="26"/>
    </row>
    <row r="294" spans="1:11">
      <c r="A294" s="9" t="s">
        <v>673</v>
      </c>
      <c r="B294" s="4"/>
      <c r="C294" s="12" t="s">
        <v>449</v>
      </c>
      <c r="D294" s="4"/>
      <c r="E294" s="4"/>
      <c r="F294" s="4"/>
      <c r="G294" s="4"/>
      <c r="H294" s="4"/>
      <c r="I294" s="26"/>
    </row>
    <row r="295" spans="1:11">
      <c r="A295" s="9" t="s">
        <v>80</v>
      </c>
      <c r="B295" s="37">
        <f>SUM(B293:B294)</f>
        <v>12</v>
      </c>
      <c r="C295" s="12" t="s">
        <v>449</v>
      </c>
      <c r="D295" s="4"/>
      <c r="E295" s="4"/>
      <c r="F295" s="4"/>
      <c r="G295" s="4"/>
      <c r="H295" s="4"/>
      <c r="I295" s="26"/>
    </row>
    <row r="296" spans="1:11">
      <c r="A296" s="9"/>
      <c r="B296" s="37"/>
      <c r="C296" s="12"/>
      <c r="D296" s="4"/>
      <c r="E296" s="4"/>
      <c r="F296" s="4"/>
      <c r="G296" s="4"/>
      <c r="H296" s="4"/>
      <c r="I296" s="26"/>
    </row>
    <row r="297" spans="1:11">
      <c r="A297" s="3" t="s">
        <v>31</v>
      </c>
      <c r="B297" s="4"/>
      <c r="C297" s="4"/>
      <c r="D297" s="4"/>
      <c r="E297" s="4"/>
      <c r="F297" s="4"/>
      <c r="G297" s="4"/>
      <c r="H297" s="4"/>
      <c r="I297" s="26"/>
    </row>
    <row r="298" spans="1:11">
      <c r="A298" s="9" t="s">
        <v>674</v>
      </c>
      <c r="B298" s="4"/>
      <c r="C298" s="12" t="s">
        <v>447</v>
      </c>
      <c r="D298" s="4"/>
      <c r="E298" s="4"/>
      <c r="F298" s="4"/>
      <c r="G298" s="4"/>
      <c r="H298" s="4"/>
      <c r="I298" s="26"/>
    </row>
    <row r="299" spans="1:11">
      <c r="A299" s="9" t="s">
        <v>675</v>
      </c>
      <c r="B299" s="4"/>
      <c r="C299" s="12" t="s">
        <v>18</v>
      </c>
      <c r="D299" s="4"/>
      <c r="E299" s="4"/>
      <c r="F299" s="4"/>
      <c r="G299" s="4"/>
      <c r="H299" s="4"/>
      <c r="I299" s="26"/>
    </row>
    <row r="300" spans="1:11">
      <c r="A300" s="9" t="s">
        <v>80</v>
      </c>
      <c r="B300" s="36">
        <v>1500000</v>
      </c>
      <c r="C300" s="12" t="s">
        <v>18</v>
      </c>
      <c r="D300" s="4"/>
      <c r="E300" s="4"/>
      <c r="F300" s="4"/>
      <c r="G300" s="4"/>
      <c r="H300" s="4"/>
      <c r="I300" s="26"/>
    </row>
    <row r="301" spans="1:11">
      <c r="A301" s="32"/>
      <c r="B301" s="33"/>
      <c r="C301" s="34"/>
      <c r="D301" s="34"/>
      <c r="E301" s="34"/>
      <c r="F301" s="34"/>
      <c r="G301" s="34"/>
      <c r="H301" s="34"/>
      <c r="I301" s="35"/>
    </row>
    <row r="302" spans="1:11">
      <c r="A302" s="12"/>
      <c r="B302" s="10"/>
      <c r="C302" s="4"/>
      <c r="D302" s="4"/>
      <c r="E302" s="4"/>
      <c r="F302" s="4"/>
      <c r="G302" s="4"/>
      <c r="H302" s="4"/>
      <c r="I302" s="4"/>
    </row>
    <row r="304" spans="1:11">
      <c r="A304" s="13" t="s">
        <v>0</v>
      </c>
      <c r="B304" s="14"/>
      <c r="C304" s="14"/>
      <c r="D304" s="14"/>
      <c r="E304" s="14"/>
      <c r="F304" s="14"/>
      <c r="G304" s="14"/>
      <c r="H304" s="14"/>
      <c r="I304" s="15"/>
    </row>
    <row r="305" spans="1:11">
      <c r="A305" s="16" t="str">
        <f>Title!$F$10</f>
        <v>ARTHUR RIVER MAGNESITE PROJECT</v>
      </c>
      <c r="B305" s="17"/>
      <c r="C305" s="17"/>
      <c r="D305" s="17"/>
      <c r="E305" s="17"/>
      <c r="F305" s="17"/>
      <c r="G305" s="17"/>
      <c r="H305" s="17"/>
      <c r="I305" s="18"/>
    </row>
    <row r="306" spans="1:11">
      <c r="A306" s="16" t="str">
        <f>Title!$F$12</f>
        <v>ORDER OF MAGNITUDE COST STUDY: CALCINE PRODUCTION ONLY</v>
      </c>
      <c r="B306" s="17"/>
      <c r="C306" s="17"/>
      <c r="D306" s="17"/>
      <c r="E306" s="17"/>
      <c r="F306" s="17"/>
      <c r="G306" s="17"/>
      <c r="H306" s="17"/>
      <c r="I306" s="18"/>
    </row>
    <row r="307" spans="1:11">
      <c r="A307" s="19"/>
      <c r="B307" s="17"/>
      <c r="C307" s="17"/>
      <c r="D307" s="17"/>
      <c r="E307" s="17"/>
      <c r="F307" s="17"/>
      <c r="G307" s="17"/>
      <c r="H307" s="17" t="str">
        <f>Title!$F$19</f>
        <v>3 October 2011</v>
      </c>
      <c r="I307" s="18"/>
    </row>
    <row r="308" spans="1:11">
      <c r="A308" s="20" t="s">
        <v>83</v>
      </c>
      <c r="B308" s="21"/>
      <c r="C308" s="21"/>
      <c r="D308" s="21"/>
      <c r="E308" s="21"/>
      <c r="F308" s="21"/>
      <c r="G308" s="21"/>
      <c r="H308" s="21"/>
      <c r="I308" s="22"/>
    </row>
    <row r="309" spans="1:11">
      <c r="A309" s="23"/>
      <c r="B309" s="24"/>
      <c r="C309" s="24"/>
      <c r="D309" s="24"/>
      <c r="E309" s="24"/>
      <c r="F309" s="24"/>
      <c r="G309" s="24"/>
      <c r="H309" s="24"/>
      <c r="I309" s="25"/>
    </row>
    <row r="310" spans="1:11">
      <c r="A310" s="3" t="s">
        <v>84</v>
      </c>
      <c r="B310" s="27"/>
      <c r="C310" s="4"/>
      <c r="D310" s="4"/>
      <c r="E310" s="4"/>
      <c r="F310" s="4"/>
      <c r="G310" s="4"/>
      <c r="H310" s="4"/>
      <c r="I310" s="26"/>
    </row>
    <row r="311" spans="1:11">
      <c r="A311" s="30" t="s">
        <v>85</v>
      </c>
      <c r="B311" s="10">
        <v>2.5000000000000001E-2</v>
      </c>
      <c r="C311" s="4" t="s">
        <v>18</v>
      </c>
      <c r="D311" s="10">
        <f>(1+B311)^'Phys Input'!$B$8-1</f>
        <v>2.4999999999999911E-2</v>
      </c>
      <c r="E311" s="4" t="s">
        <v>19</v>
      </c>
      <c r="F311" s="4"/>
      <c r="G311" s="4"/>
      <c r="H311" s="4"/>
      <c r="I311" s="26"/>
    </row>
    <row r="312" spans="1:11">
      <c r="A312" s="30"/>
      <c r="B312" s="10"/>
      <c r="C312" s="4"/>
      <c r="D312" s="10"/>
      <c r="E312" s="4"/>
      <c r="F312" s="4"/>
      <c r="G312" s="4"/>
      <c r="H312" s="4"/>
      <c r="I312" s="26"/>
    </row>
    <row r="313" spans="1:11">
      <c r="A313" s="3" t="s">
        <v>57</v>
      </c>
      <c r="B313" s="4"/>
      <c r="C313" s="4"/>
      <c r="D313" s="4"/>
      <c r="E313" s="4"/>
      <c r="F313" s="4"/>
      <c r="G313" s="4"/>
      <c r="H313" s="4"/>
      <c r="I313" s="26"/>
    </row>
    <row r="314" spans="1:11">
      <c r="A314" s="9" t="s">
        <v>322</v>
      </c>
      <c r="B314" s="36">
        <v>650</v>
      </c>
      <c r="C314" s="12" t="s">
        <v>166</v>
      </c>
      <c r="D314" s="4"/>
      <c r="E314" s="4"/>
      <c r="F314" s="4"/>
      <c r="G314" s="4"/>
      <c r="H314" s="4"/>
      <c r="I314" s="26"/>
      <c r="K314" s="81" t="s">
        <v>411</v>
      </c>
    </row>
    <row r="315" spans="1:11">
      <c r="A315" s="9"/>
      <c r="B315" s="36"/>
      <c r="C315" s="12"/>
      <c r="D315" s="4"/>
      <c r="E315" s="4"/>
      <c r="F315" s="4"/>
      <c r="G315" s="4"/>
      <c r="H315" s="4"/>
      <c r="I315" s="26"/>
    </row>
    <row r="316" spans="1:11">
      <c r="A316" s="3" t="s">
        <v>121</v>
      </c>
      <c r="B316" s="4"/>
      <c r="C316" s="4"/>
      <c r="D316" s="4"/>
      <c r="E316" s="4"/>
      <c r="F316" s="4"/>
      <c r="G316" s="4"/>
      <c r="H316" s="4"/>
      <c r="I316" s="26"/>
    </row>
    <row r="317" spans="1:11">
      <c r="A317" s="9" t="s">
        <v>368</v>
      </c>
      <c r="B317" s="36">
        <v>25</v>
      </c>
      <c r="C317" s="12" t="s">
        <v>369</v>
      </c>
      <c r="D317" s="4"/>
      <c r="E317" s="4"/>
      <c r="F317" s="4"/>
      <c r="G317" s="4"/>
      <c r="H317" s="4"/>
      <c r="I317" s="26"/>
      <c r="K317" s="81" t="s">
        <v>493</v>
      </c>
    </row>
    <row r="318" spans="1:11">
      <c r="A318" s="9" t="s">
        <v>327</v>
      </c>
      <c r="B318" s="10">
        <v>0.04</v>
      </c>
      <c r="C318" s="90" t="s">
        <v>122</v>
      </c>
      <c r="D318" s="4"/>
      <c r="E318" s="4"/>
      <c r="F318" s="4"/>
      <c r="G318" s="4"/>
      <c r="H318" s="4"/>
      <c r="I318" s="26"/>
      <c r="K318" s="81" t="s">
        <v>493</v>
      </c>
    </row>
    <row r="319" spans="1:11">
      <c r="A319" s="9" t="s">
        <v>144</v>
      </c>
      <c r="B319" s="10">
        <v>0</v>
      </c>
      <c r="C319" s="90" t="s">
        <v>122</v>
      </c>
      <c r="D319" s="4"/>
      <c r="E319" s="4"/>
      <c r="F319" s="4"/>
      <c r="G319" s="4"/>
      <c r="H319" s="4"/>
      <c r="I319" s="26"/>
      <c r="K319" s="81" t="s">
        <v>593</v>
      </c>
    </row>
    <row r="320" spans="1:11">
      <c r="A320" s="9"/>
      <c r="B320" s="10"/>
      <c r="C320" s="90"/>
      <c r="D320" s="4"/>
      <c r="E320" s="4"/>
      <c r="F320" s="4"/>
      <c r="G320" s="4"/>
      <c r="H320" s="4"/>
      <c r="I320" s="26"/>
    </row>
    <row r="321" spans="1:9">
      <c r="A321" s="3" t="s">
        <v>12</v>
      </c>
      <c r="B321" s="10"/>
      <c r="C321" s="4"/>
      <c r="D321" s="4"/>
      <c r="E321" s="4"/>
      <c r="F321" s="4"/>
      <c r="G321" s="4"/>
      <c r="H321" s="4"/>
      <c r="I321" s="26"/>
    </row>
    <row r="322" spans="1:9">
      <c r="A322" s="30" t="s">
        <v>13</v>
      </c>
      <c r="B322" s="27">
        <v>0.6</v>
      </c>
      <c r="C322" s="4" t="s">
        <v>14</v>
      </c>
      <c r="D322" s="4"/>
      <c r="E322" s="4"/>
      <c r="F322" s="4"/>
      <c r="G322" s="4"/>
      <c r="H322" s="4"/>
      <c r="I322" s="26"/>
    </row>
    <row r="323" spans="1:9">
      <c r="A323" s="30" t="s">
        <v>15</v>
      </c>
      <c r="B323" s="29">
        <v>6</v>
      </c>
      <c r="C323" s="4" t="s">
        <v>16</v>
      </c>
      <c r="D323" s="4"/>
      <c r="E323" s="4"/>
      <c r="F323" s="4"/>
      <c r="G323" s="4"/>
      <c r="H323" s="4"/>
      <c r="I323" s="26"/>
    </row>
    <row r="324" spans="1:9">
      <c r="A324" s="30" t="s">
        <v>17</v>
      </c>
      <c r="B324" s="10">
        <v>0.09</v>
      </c>
      <c r="C324" s="4" t="s">
        <v>18</v>
      </c>
      <c r="D324" s="10">
        <f>(1+B324)^'Phys Input'!$B$8-1</f>
        <v>9.000000000000008E-2</v>
      </c>
      <c r="E324" s="4" t="s">
        <v>19</v>
      </c>
      <c r="F324" s="4"/>
      <c r="G324" s="4"/>
      <c r="H324" s="4"/>
      <c r="I324" s="26"/>
    </row>
    <row r="325" spans="1:9">
      <c r="A325" s="30"/>
      <c r="B325" s="10"/>
      <c r="C325" s="4"/>
      <c r="D325" s="10"/>
      <c r="E325" s="4"/>
      <c r="F325" s="4"/>
      <c r="G325" s="4"/>
      <c r="H325" s="4"/>
      <c r="I325" s="26"/>
    </row>
    <row r="326" spans="1:9">
      <c r="A326" s="3" t="s">
        <v>150</v>
      </c>
      <c r="B326" s="36"/>
      <c r="C326" s="4"/>
      <c r="D326" s="10"/>
      <c r="E326" s="4"/>
      <c r="F326" s="4"/>
      <c r="G326" s="4"/>
      <c r="H326" s="4"/>
      <c r="I326" s="26"/>
    </row>
    <row r="327" spans="1:9">
      <c r="A327" s="30" t="s">
        <v>151</v>
      </c>
      <c r="B327" s="10">
        <v>0.1</v>
      </c>
      <c r="C327" s="4"/>
      <c r="D327" s="10"/>
      <c r="E327" s="4"/>
      <c r="F327" s="4"/>
      <c r="G327" s="4"/>
      <c r="H327" s="4"/>
      <c r="I327" s="26"/>
    </row>
    <row r="328" spans="1:9">
      <c r="A328" s="30" t="s">
        <v>76</v>
      </c>
      <c r="B328" s="10">
        <f>(1+B327)^'Phys Input'!B8-1</f>
        <v>0.10000000000000009</v>
      </c>
      <c r="C328" s="4"/>
      <c r="D328" s="10"/>
      <c r="E328" s="4"/>
      <c r="F328" s="4"/>
      <c r="G328" s="4"/>
      <c r="H328" s="4"/>
      <c r="I328" s="26"/>
    </row>
    <row r="329" spans="1:9">
      <c r="A329" s="30" t="s">
        <v>77</v>
      </c>
      <c r="B329" s="10">
        <f>(1+B328)^0.5-1</f>
        <v>4.8808848170151631E-2</v>
      </c>
      <c r="C329" s="4"/>
      <c r="D329" s="10"/>
      <c r="E329" s="4"/>
      <c r="F329" s="4"/>
      <c r="G329" s="4"/>
      <c r="H329" s="4"/>
      <c r="I329" s="26"/>
    </row>
    <row r="330" spans="1:9">
      <c r="A330" s="30"/>
      <c r="B330" s="10"/>
      <c r="C330" s="4"/>
      <c r="D330" s="10"/>
      <c r="E330" s="4"/>
      <c r="F330" s="4"/>
      <c r="G330" s="4"/>
      <c r="H330" s="4"/>
      <c r="I330" s="26"/>
    </row>
    <row r="331" spans="1:9">
      <c r="A331" s="3" t="s">
        <v>20</v>
      </c>
      <c r="B331" s="10"/>
      <c r="C331" s="4"/>
      <c r="D331" s="10"/>
      <c r="E331" s="4"/>
      <c r="F331" s="4"/>
      <c r="G331" s="4"/>
      <c r="H331" s="4"/>
      <c r="I331" s="26"/>
    </row>
    <row r="332" spans="1:9">
      <c r="A332" s="30" t="s">
        <v>21</v>
      </c>
      <c r="B332" s="27">
        <v>0.3</v>
      </c>
      <c r="C332" s="4"/>
      <c r="D332" s="31"/>
      <c r="E332" s="4"/>
      <c r="F332" s="4"/>
      <c r="G332" s="4"/>
      <c r="H332" s="4"/>
      <c r="I332" s="26"/>
    </row>
    <row r="333" spans="1:9">
      <c r="A333" s="30"/>
      <c r="B333" s="10"/>
      <c r="C333" s="4"/>
      <c r="D333" s="10"/>
      <c r="E333" s="4"/>
      <c r="F333" s="4"/>
      <c r="G333" s="4"/>
      <c r="H333" s="4"/>
      <c r="I333" s="26"/>
    </row>
    <row r="334" spans="1:9">
      <c r="A334" s="24"/>
      <c r="B334" s="183"/>
      <c r="C334" s="24"/>
      <c r="D334" s="183"/>
      <c r="E334" s="24"/>
      <c r="F334" s="24"/>
      <c r="G334" s="24"/>
      <c r="H334" s="24"/>
      <c r="I334" s="24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"/>
  <sheetViews>
    <sheetView topLeftCell="A168" zoomScale="85" workbookViewId="0">
      <selection activeCell="A182" sqref="A182"/>
    </sheetView>
  </sheetViews>
  <sheetFormatPr defaultRowHeight="12.75"/>
  <cols>
    <col min="1" max="1" width="26" customWidth="1"/>
    <col min="2" max="4" width="9.140625" customWidth="1"/>
  </cols>
  <sheetData>
    <row r="1" spans="1:20">
      <c r="A1" s="13" t="s">
        <v>0</v>
      </c>
      <c r="B1" s="77"/>
      <c r="C1" s="77"/>
      <c r="D1" s="7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>
      <c r="A2" s="16" t="str">
        <f>Title!$F$10</f>
        <v>ARTHUR RIVER MAGNESITE PROJECT</v>
      </c>
      <c r="B2" s="78"/>
      <c r="C2" s="78"/>
      <c r="D2" s="7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/>
    </row>
    <row r="3" spans="1:20">
      <c r="A3" s="16" t="str">
        <f>Title!$F$12</f>
        <v>ORDER OF MAGNITUDE COST STUDY: CALCINE PRODUCTION ONLY</v>
      </c>
      <c r="B3" s="78"/>
      <c r="C3" s="78"/>
      <c r="D3" s="7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</row>
    <row r="4" spans="1:20">
      <c r="A4" s="19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tr">
        <f>Title!$F$19</f>
        <v>3 October 2011</v>
      </c>
      <c r="T4" s="18"/>
    </row>
    <row r="5" spans="1:20">
      <c r="A5" s="20" t="s">
        <v>158</v>
      </c>
      <c r="B5" s="79"/>
      <c r="C5" s="79"/>
      <c r="D5" s="79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2"/>
    </row>
    <row r="6" spans="1:20">
      <c r="A6" s="38"/>
      <c r="B6" s="41" t="s">
        <v>26</v>
      </c>
      <c r="C6" s="41" t="s">
        <v>26</v>
      </c>
      <c r="D6" s="41" t="s">
        <v>26</v>
      </c>
      <c r="E6" s="41" t="s">
        <v>26</v>
      </c>
      <c r="F6" s="41" t="s">
        <v>26</v>
      </c>
      <c r="G6" s="41" t="s">
        <v>26</v>
      </c>
      <c r="H6" s="41" t="s">
        <v>26</v>
      </c>
      <c r="I6" s="41" t="s">
        <v>26</v>
      </c>
      <c r="J6" s="41" t="s">
        <v>26</v>
      </c>
      <c r="K6" s="41" t="s">
        <v>26</v>
      </c>
      <c r="L6" s="41" t="s">
        <v>26</v>
      </c>
      <c r="M6" s="41" t="s">
        <v>26</v>
      </c>
      <c r="N6" s="41" t="s">
        <v>26</v>
      </c>
      <c r="O6" s="41" t="s">
        <v>26</v>
      </c>
      <c r="P6" s="41" t="s">
        <v>26</v>
      </c>
      <c r="Q6" s="41" t="s">
        <v>26</v>
      </c>
      <c r="R6" s="41"/>
      <c r="S6" s="42" t="s">
        <v>5</v>
      </c>
      <c r="T6" s="42" t="s">
        <v>134</v>
      </c>
    </row>
    <row r="7" spans="1:20">
      <c r="A7" s="8"/>
      <c r="B7" s="43">
        <v>-3</v>
      </c>
      <c r="C7" s="43">
        <v>-2</v>
      </c>
      <c r="D7" s="43">
        <v>-1</v>
      </c>
      <c r="E7" s="43">
        <v>1</v>
      </c>
      <c r="F7" s="43">
        <v>2</v>
      </c>
      <c r="G7" s="43">
        <v>3</v>
      </c>
      <c r="H7" s="43">
        <v>4</v>
      </c>
      <c r="I7" s="43">
        <v>5</v>
      </c>
      <c r="J7" s="43">
        <v>6</v>
      </c>
      <c r="K7" s="43">
        <v>7</v>
      </c>
      <c r="L7" s="43">
        <v>8</v>
      </c>
      <c r="M7" s="43">
        <v>9</v>
      </c>
      <c r="N7" s="43">
        <v>10</v>
      </c>
      <c r="O7" s="43">
        <v>11</v>
      </c>
      <c r="P7" s="43">
        <v>12</v>
      </c>
      <c r="Q7" s="43">
        <v>13</v>
      </c>
      <c r="R7" s="43"/>
      <c r="S7" s="44"/>
      <c r="T7" s="44"/>
    </row>
    <row r="8" spans="1:20">
      <c r="A8" s="6" t="s">
        <v>27</v>
      </c>
      <c r="B8" s="31">
        <v>1000</v>
      </c>
      <c r="C8" s="31">
        <v>1000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11">
        <f>SUM(B8:R8)</f>
        <v>2000</v>
      </c>
      <c r="T8" s="11">
        <f>SUM(B8:D8)</f>
        <v>2000</v>
      </c>
    </row>
    <row r="9" spans="1:20">
      <c r="A9" s="39" t="s">
        <v>28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11"/>
      <c r="T9" s="11"/>
    </row>
    <row r="10" spans="1:20">
      <c r="A10" s="5" t="s">
        <v>139</v>
      </c>
      <c r="B10" s="31"/>
      <c r="C10" s="31"/>
      <c r="D10" s="31">
        <v>500</v>
      </c>
      <c r="E10" s="31">
        <v>100</v>
      </c>
      <c r="F10" s="31">
        <v>100</v>
      </c>
      <c r="G10" s="31">
        <v>100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11">
        <f t="shared" ref="S10:S26" si="0">SUM(B10:R10)</f>
        <v>800</v>
      </c>
      <c r="T10" s="11">
        <f t="shared" ref="T10:T40" si="1">SUM(B10:D10)</f>
        <v>500</v>
      </c>
    </row>
    <row r="11" spans="1:20">
      <c r="A11" s="5" t="s">
        <v>736</v>
      </c>
      <c r="B11" s="31"/>
      <c r="C11" s="31">
        <f>Input!F25/1000</f>
        <v>0</v>
      </c>
      <c r="D11" s="31">
        <f>Input!G25/1000</f>
        <v>18200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11">
        <f t="shared" ref="S11" si="2">SUM(B11:R11)</f>
        <v>18200</v>
      </c>
      <c r="T11" s="11">
        <f t="shared" ref="T11" si="3">SUM(B11:D11)</f>
        <v>18200</v>
      </c>
    </row>
    <row r="12" spans="1:20">
      <c r="A12" s="5" t="s">
        <v>299</v>
      </c>
      <c r="B12" s="31"/>
      <c r="C12" s="31">
        <f>Input!F41/1000</f>
        <v>0</v>
      </c>
      <c r="D12" s="31">
        <f>Input!G41/1000</f>
        <v>1060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11">
        <f t="shared" ref="S12:S17" si="4">SUM(B12:R12)</f>
        <v>1060</v>
      </c>
      <c r="T12" s="11">
        <f t="shared" ref="T12:T17" si="5">SUM(B12:D12)</f>
        <v>1060</v>
      </c>
    </row>
    <row r="13" spans="1:20">
      <c r="A13" s="5" t="s">
        <v>300</v>
      </c>
      <c r="B13" s="31"/>
      <c r="C13" s="31">
        <f>Input!F59/1000</f>
        <v>490</v>
      </c>
      <c r="D13" s="31">
        <f>Input!G59/1000</f>
        <v>2550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11">
        <f t="shared" si="4"/>
        <v>3040</v>
      </c>
      <c r="T13" s="11">
        <f t="shared" si="5"/>
        <v>3040</v>
      </c>
    </row>
    <row r="14" spans="1:20">
      <c r="A14" s="5" t="s">
        <v>301</v>
      </c>
      <c r="B14" s="31"/>
      <c r="C14" s="31">
        <f>Input!F73/1000</f>
        <v>2880</v>
      </c>
      <c r="D14" s="31">
        <f>Input!G73/1000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11">
        <f t="shared" si="4"/>
        <v>2880</v>
      </c>
      <c r="T14" s="11">
        <f t="shared" si="5"/>
        <v>2880</v>
      </c>
    </row>
    <row r="15" spans="1:20">
      <c r="A15" s="5" t="s">
        <v>389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1">
        <f t="shared" ref="S15" si="6">SUM(B15:R15)</f>
        <v>0</v>
      </c>
      <c r="T15" s="11">
        <f t="shared" ref="T15" si="7">SUM(B15:D15)</f>
        <v>0</v>
      </c>
    </row>
    <row r="16" spans="1:20">
      <c r="A16" s="5" t="s">
        <v>382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11">
        <f t="shared" si="4"/>
        <v>0</v>
      </c>
      <c r="T16" s="11">
        <f t="shared" si="5"/>
        <v>0</v>
      </c>
    </row>
    <row r="17" spans="1:20">
      <c r="A17" s="5" t="s">
        <v>113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11">
        <f t="shared" si="4"/>
        <v>0</v>
      </c>
      <c r="T17" s="11">
        <f t="shared" si="5"/>
        <v>0</v>
      </c>
    </row>
    <row r="18" spans="1:20">
      <c r="A18" s="39" t="s">
        <v>244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1"/>
      <c r="T18" s="11"/>
    </row>
    <row r="19" spans="1:20">
      <c r="A19" s="5" t="s">
        <v>417</v>
      </c>
      <c r="B19" s="31"/>
      <c r="C19" s="31">
        <f>Input!F102/1000</f>
        <v>0</v>
      </c>
      <c r="D19" s="31">
        <f>Input!G102/1000</f>
        <v>1412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11">
        <f t="shared" ref="S19" si="8">SUM(B19:R19)</f>
        <v>1412</v>
      </c>
      <c r="T19" s="11">
        <f t="shared" ref="T19" si="9">SUM(B19:D19)</f>
        <v>1412</v>
      </c>
    </row>
    <row r="20" spans="1:20">
      <c r="A20" s="5" t="s">
        <v>424</v>
      </c>
      <c r="B20" s="31"/>
      <c r="C20" s="31">
        <f>Input!F105/1000</f>
        <v>0</v>
      </c>
      <c r="D20" s="31">
        <f>Input!G105/1000</f>
        <v>800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11">
        <f t="shared" si="0"/>
        <v>800</v>
      </c>
      <c r="T20" s="11">
        <f t="shared" si="1"/>
        <v>800</v>
      </c>
    </row>
    <row r="21" spans="1:20">
      <c r="A21" s="5" t="s">
        <v>497</v>
      </c>
      <c r="B21" s="31"/>
      <c r="C21" s="31">
        <f>Input!F108/1000</f>
        <v>0</v>
      </c>
      <c r="D21" s="31">
        <f>Input!G108/1000</f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11">
        <f t="shared" si="0"/>
        <v>0</v>
      </c>
      <c r="T21" s="11">
        <f t="shared" si="1"/>
        <v>0</v>
      </c>
    </row>
    <row r="22" spans="1:20">
      <c r="A22" s="5" t="s">
        <v>426</v>
      </c>
      <c r="B22" s="31"/>
      <c r="C22" s="31">
        <f>Input!F111/1000</f>
        <v>7000</v>
      </c>
      <c r="D22" s="31">
        <f>Input!G111/1000</f>
        <v>28000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1">
        <f t="shared" si="0"/>
        <v>35000</v>
      </c>
      <c r="T22" s="11">
        <f t="shared" si="1"/>
        <v>35000</v>
      </c>
    </row>
    <row r="23" spans="1:20">
      <c r="A23" s="5" t="s">
        <v>428</v>
      </c>
      <c r="B23" s="31"/>
      <c r="C23" s="31">
        <f>Input!F114/1000</f>
        <v>2000</v>
      </c>
      <c r="D23" s="31">
        <f>Input!G114/1000</f>
        <v>8000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11">
        <f t="shared" ref="S23:S25" si="10">SUM(B23:R23)</f>
        <v>10000</v>
      </c>
      <c r="T23" s="11">
        <f t="shared" ref="T23:T25" si="11">SUM(B23:D23)</f>
        <v>10000</v>
      </c>
    </row>
    <row r="24" spans="1:20">
      <c r="A24" s="5" t="s">
        <v>430</v>
      </c>
      <c r="B24" s="31"/>
      <c r="C24" s="31">
        <f>Input!F117/1000</f>
        <v>0</v>
      </c>
      <c r="D24" s="31">
        <f>Input!G117/1000</f>
        <v>8000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11">
        <f t="shared" si="10"/>
        <v>8000</v>
      </c>
      <c r="T24" s="11">
        <f t="shared" si="11"/>
        <v>8000</v>
      </c>
    </row>
    <row r="25" spans="1:20">
      <c r="A25" s="5" t="s">
        <v>431</v>
      </c>
      <c r="B25" s="31"/>
      <c r="C25" s="31">
        <f>Input!F120/1000</f>
        <v>0</v>
      </c>
      <c r="D25" s="31">
        <f>Input!G120/1000</f>
        <v>1000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11">
        <f t="shared" si="10"/>
        <v>1000</v>
      </c>
      <c r="T25" s="11">
        <f t="shared" si="11"/>
        <v>1000</v>
      </c>
    </row>
    <row r="26" spans="1:20">
      <c r="A26" s="5" t="s">
        <v>300</v>
      </c>
      <c r="B26" s="31"/>
      <c r="C26" s="31">
        <f>Input!F138/1000</f>
        <v>160</v>
      </c>
      <c r="D26" s="31">
        <f>Input!G138/1000</f>
        <v>3150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11">
        <f t="shared" si="0"/>
        <v>3310</v>
      </c>
      <c r="T26" s="11">
        <f t="shared" si="1"/>
        <v>3310</v>
      </c>
    </row>
    <row r="27" spans="1:20">
      <c r="A27" s="5" t="s">
        <v>301</v>
      </c>
      <c r="B27" s="31"/>
      <c r="C27" s="31">
        <f>Input!F153/1000</f>
        <v>9050</v>
      </c>
      <c r="D27" s="31">
        <f>Input!G153/1000</f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11">
        <f t="shared" ref="S27:S30" si="12">SUM(B27:R27)</f>
        <v>9050</v>
      </c>
      <c r="T27" s="11">
        <f t="shared" ref="T27:T30" si="13">SUM(B27:D27)</f>
        <v>9050</v>
      </c>
    </row>
    <row r="28" spans="1:20">
      <c r="A28" s="5" t="s">
        <v>389</v>
      </c>
      <c r="B28" s="31"/>
      <c r="C28" s="31"/>
      <c r="D28" s="10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11">
        <f t="shared" si="12"/>
        <v>0</v>
      </c>
      <c r="T28" s="11">
        <f t="shared" si="13"/>
        <v>0</v>
      </c>
    </row>
    <row r="29" spans="1:20">
      <c r="A29" s="5" t="s">
        <v>382</v>
      </c>
      <c r="B29" s="31"/>
      <c r="C29" s="31"/>
      <c r="D29" s="100"/>
      <c r="E29" s="31">
        <f>SUM($B22:D25)*Input!$B156</f>
        <v>2160</v>
      </c>
      <c r="F29" s="31">
        <f>SUM($B22:E25)*Input!$B156</f>
        <v>2160</v>
      </c>
      <c r="G29" s="31">
        <f>SUM($B22:F25)*Input!$B156</f>
        <v>2160</v>
      </c>
      <c r="H29" s="31">
        <f>SUM($B22:G25)*Input!$B156</f>
        <v>2160</v>
      </c>
      <c r="I29" s="31">
        <f>SUM($B22:H25)*Input!$B156</f>
        <v>2160</v>
      </c>
      <c r="J29" s="31">
        <f>SUM($B22:I25)*Input!$B156</f>
        <v>2160</v>
      </c>
      <c r="K29" s="31">
        <f>SUM($B22:J25)*Input!$B156</f>
        <v>2160</v>
      </c>
      <c r="L29" s="31">
        <f>SUM($B22:K25)*Input!$B156</f>
        <v>2160</v>
      </c>
      <c r="M29" s="31">
        <f>SUM($B22:L25)*Input!$B156</f>
        <v>2160</v>
      </c>
      <c r="N29" s="31">
        <f>SUM($B22:M25)*Input!$B156</f>
        <v>2160</v>
      </c>
      <c r="O29" s="31">
        <f>SUM($B22:N25)*Input!$B156</f>
        <v>2160</v>
      </c>
      <c r="P29" s="31">
        <f>SUM($B22:O25)*Input!$B156*0.5</f>
        <v>1080</v>
      </c>
      <c r="Q29" s="31"/>
      <c r="R29" s="31"/>
      <c r="S29" s="11">
        <f t="shared" si="12"/>
        <v>24840</v>
      </c>
      <c r="T29" s="11">
        <f t="shared" si="13"/>
        <v>0</v>
      </c>
    </row>
    <row r="30" spans="1:20">
      <c r="A30" s="5" t="s">
        <v>113</v>
      </c>
      <c r="B30" s="31"/>
      <c r="C30" s="31"/>
      <c r="D30" s="10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11">
        <f t="shared" si="12"/>
        <v>0</v>
      </c>
      <c r="T30" s="11">
        <f t="shared" si="13"/>
        <v>0</v>
      </c>
    </row>
    <row r="31" spans="1:20">
      <c r="A31" s="39" t="s">
        <v>133</v>
      </c>
      <c r="B31" s="31"/>
      <c r="C31" s="31"/>
      <c r="D31" s="10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11"/>
      <c r="T31" s="11"/>
    </row>
    <row r="32" spans="1:20">
      <c r="A32" s="5" t="s">
        <v>302</v>
      </c>
      <c r="B32" s="31">
        <v>500</v>
      </c>
      <c r="C32" s="100">
        <v>1500</v>
      </c>
      <c r="D32" s="10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11">
        <f t="shared" ref="S32:S37" si="14">SUM(B32:R32)</f>
        <v>2000</v>
      </c>
      <c r="T32" s="11">
        <f t="shared" si="1"/>
        <v>2000</v>
      </c>
    </row>
    <row r="33" spans="1:20">
      <c r="A33" s="5" t="s">
        <v>303</v>
      </c>
      <c r="B33" s="31">
        <v>500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11">
        <f t="shared" si="14"/>
        <v>500</v>
      </c>
      <c r="T33" s="11">
        <f t="shared" si="1"/>
        <v>500</v>
      </c>
    </row>
    <row r="34" spans="1:20">
      <c r="A34" s="5" t="s">
        <v>304</v>
      </c>
      <c r="B34" s="31">
        <v>200</v>
      </c>
      <c r="C34" s="31">
        <v>200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1">
        <f t="shared" si="14"/>
        <v>400</v>
      </c>
      <c r="T34" s="11">
        <f t="shared" si="1"/>
        <v>400</v>
      </c>
    </row>
    <row r="35" spans="1:20">
      <c r="A35" s="5" t="s">
        <v>305</v>
      </c>
      <c r="B35" s="31"/>
      <c r="C35" s="100">
        <v>500</v>
      </c>
      <c r="D35" s="10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11">
        <f t="shared" si="14"/>
        <v>500</v>
      </c>
      <c r="T35" s="11">
        <f t="shared" si="1"/>
        <v>500</v>
      </c>
    </row>
    <row r="36" spans="1:20">
      <c r="A36" s="5" t="s">
        <v>306</v>
      </c>
      <c r="B36" s="31"/>
      <c r="C36" s="100">
        <v>2000</v>
      </c>
      <c r="D36" s="10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>
        <v>-2000</v>
      </c>
      <c r="R36" s="31"/>
      <c r="S36" s="11">
        <f t="shared" si="14"/>
        <v>0</v>
      </c>
      <c r="T36" s="11">
        <f t="shared" si="1"/>
        <v>2000</v>
      </c>
    </row>
    <row r="37" spans="1:20">
      <c r="A37" s="6" t="s">
        <v>29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>
        <v>2000</v>
      </c>
      <c r="R37" s="31"/>
      <c r="S37" s="11">
        <f t="shared" si="14"/>
        <v>2000</v>
      </c>
      <c r="T37" s="11">
        <f t="shared" si="1"/>
        <v>0</v>
      </c>
    </row>
    <row r="38" spans="1:20">
      <c r="A38" s="5" t="s">
        <v>423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11"/>
      <c r="T38" s="11"/>
    </row>
    <row r="39" spans="1:20">
      <c r="A39" s="6" t="s">
        <v>5</v>
      </c>
      <c r="B39" s="58">
        <f>SUM(B8:B38)</f>
        <v>2200</v>
      </c>
      <c r="C39" s="58">
        <f t="shared" ref="C39:Q39" si="15">SUM(C8:C38)</f>
        <v>26780</v>
      </c>
      <c r="D39" s="58">
        <f t="shared" si="15"/>
        <v>72672</v>
      </c>
      <c r="E39" s="58">
        <f t="shared" si="15"/>
        <v>2260</v>
      </c>
      <c r="F39" s="58">
        <f t="shared" si="15"/>
        <v>2260</v>
      </c>
      <c r="G39" s="58">
        <f t="shared" si="15"/>
        <v>2260</v>
      </c>
      <c r="H39" s="58">
        <f t="shared" si="15"/>
        <v>2160</v>
      </c>
      <c r="I39" s="58">
        <f t="shared" si="15"/>
        <v>2160</v>
      </c>
      <c r="J39" s="58">
        <f t="shared" si="15"/>
        <v>2160</v>
      </c>
      <c r="K39" s="58">
        <f t="shared" si="15"/>
        <v>2160</v>
      </c>
      <c r="L39" s="58">
        <f t="shared" si="15"/>
        <v>2160</v>
      </c>
      <c r="M39" s="58">
        <f t="shared" si="15"/>
        <v>2160</v>
      </c>
      <c r="N39" s="58">
        <f t="shared" si="15"/>
        <v>2160</v>
      </c>
      <c r="O39" s="58">
        <f t="shared" si="15"/>
        <v>2160</v>
      </c>
      <c r="P39" s="58">
        <f t="shared" si="15"/>
        <v>1080</v>
      </c>
      <c r="Q39" s="58">
        <f t="shared" si="15"/>
        <v>0</v>
      </c>
      <c r="R39" s="58"/>
      <c r="S39" s="59">
        <f>SUM(B39:R39)</f>
        <v>126792</v>
      </c>
      <c r="T39" s="59">
        <f>SUM(B39:D39)</f>
        <v>101652</v>
      </c>
    </row>
    <row r="40" spans="1:20">
      <c r="A40" s="40" t="s">
        <v>157</v>
      </c>
      <c r="B40" s="127">
        <f>B39</f>
        <v>2200</v>
      </c>
      <c r="C40" s="127">
        <f>C39*(1+Input!$D$311)</f>
        <v>27449.499999999996</v>
      </c>
      <c r="D40" s="127">
        <f>D39*(1+Input!$D$311)^2</f>
        <v>76351.01999999999</v>
      </c>
      <c r="E40" s="127">
        <f>E39*(1+Input!$D$311)^3</f>
        <v>2433.7728124999999</v>
      </c>
      <c r="F40" s="127">
        <f>F39*(1+Input!$D$311)^4</f>
        <v>2494.6171328124997</v>
      </c>
      <c r="G40" s="127">
        <f>G39*(1+Input!$D$311)^5</f>
        <v>2556.9825611328115</v>
      </c>
      <c r="H40" s="127">
        <f>H39*(1+Input!$D$311)^6</f>
        <v>2504.937783339843</v>
      </c>
      <c r="I40" s="127">
        <f>I39*(1+Input!$D$311)^7</f>
        <v>2567.5612279233392</v>
      </c>
      <c r="J40" s="127">
        <f>J39*(1+Input!$D$311)^8</f>
        <v>2631.7502586214223</v>
      </c>
      <c r="K40" s="127">
        <f>K39*(1+Input!$D$311)^9</f>
        <v>2697.5440150869572</v>
      </c>
      <c r="L40" s="127">
        <f>L39*(1+Input!$D$311)^10</f>
        <v>2764.9826154641314</v>
      </c>
      <c r="M40" s="127">
        <f>M39*(1+Input!$D$311)^11</f>
        <v>2834.1071808507345</v>
      </c>
      <c r="N40" s="127">
        <f>N39*(1+Input!$D$311)^12</f>
        <v>2904.9598603720028</v>
      </c>
      <c r="O40" s="127">
        <f>O39*(1+Input!$D$311)^13</f>
        <v>2977.5838568813024</v>
      </c>
      <c r="P40" s="127">
        <f>P39*(1+Input!$D$311)^14</f>
        <v>1526.0117266516675</v>
      </c>
      <c r="Q40" s="127">
        <f>Q39*(1+Input!$D$311)^15</f>
        <v>0</v>
      </c>
      <c r="R40" s="127"/>
      <c r="S40" s="128">
        <f>SUM(B40:R40)</f>
        <v>136895.33103163671</v>
      </c>
      <c r="T40" s="128">
        <f t="shared" si="1"/>
        <v>106000.51999999999</v>
      </c>
    </row>
    <row r="41" spans="1:20">
      <c r="A41" s="8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2"/>
    </row>
    <row r="44" spans="1:20">
      <c r="A44" s="13" t="s">
        <v>0</v>
      </c>
      <c r="B44" s="77"/>
      <c r="C44" s="77"/>
      <c r="D44" s="77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5"/>
    </row>
    <row r="45" spans="1:20">
      <c r="A45" s="16" t="str">
        <f>Title!$F$10</f>
        <v>ARTHUR RIVER MAGNESITE PROJECT</v>
      </c>
      <c r="B45" s="78"/>
      <c r="C45" s="78"/>
      <c r="D45" s="7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8"/>
    </row>
    <row r="46" spans="1:20">
      <c r="A46" s="16" t="str">
        <f>Title!$F$12</f>
        <v>ORDER OF MAGNITUDE COST STUDY: CALCINE PRODUCTION ONLY</v>
      </c>
      <c r="B46" s="78"/>
      <c r="C46" s="78"/>
      <c r="D46" s="7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8"/>
    </row>
    <row r="47" spans="1:20">
      <c r="A47" s="19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 t="str">
        <f>Title!$F$19</f>
        <v>3 October 2011</v>
      </c>
      <c r="S47" s="18"/>
    </row>
    <row r="48" spans="1:20">
      <c r="A48" s="20" t="s">
        <v>159</v>
      </c>
      <c r="B48" s="79"/>
      <c r="C48" s="79"/>
      <c r="D48" s="7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</row>
    <row r="49" spans="1:19">
      <c r="A49" s="38"/>
      <c r="B49" s="41" t="s">
        <v>26</v>
      </c>
      <c r="C49" s="41" t="s">
        <v>26</v>
      </c>
      <c r="D49" s="41" t="s">
        <v>26</v>
      </c>
      <c r="E49" s="41" t="s">
        <v>26</v>
      </c>
      <c r="F49" s="41" t="s">
        <v>26</v>
      </c>
      <c r="G49" s="41" t="s">
        <v>26</v>
      </c>
      <c r="H49" s="41" t="s">
        <v>26</v>
      </c>
      <c r="I49" s="41" t="s">
        <v>26</v>
      </c>
      <c r="J49" s="41" t="s">
        <v>26</v>
      </c>
      <c r="K49" s="41" t="s">
        <v>26</v>
      </c>
      <c r="L49" s="41" t="s">
        <v>26</v>
      </c>
      <c r="M49" s="41" t="s">
        <v>26</v>
      </c>
      <c r="N49" s="41" t="s">
        <v>26</v>
      </c>
      <c r="O49" s="41" t="s">
        <v>26</v>
      </c>
      <c r="P49" s="41" t="s">
        <v>26</v>
      </c>
      <c r="Q49" s="41" t="s">
        <v>26</v>
      </c>
      <c r="R49" s="41"/>
      <c r="S49" s="42" t="s">
        <v>5</v>
      </c>
    </row>
    <row r="50" spans="1:19">
      <c r="A50" s="8"/>
      <c r="B50" s="43">
        <v>-3</v>
      </c>
      <c r="C50" s="43">
        <v>-2</v>
      </c>
      <c r="D50" s="43">
        <v>-1</v>
      </c>
      <c r="E50" s="43">
        <v>1</v>
      </c>
      <c r="F50" s="43">
        <v>2</v>
      </c>
      <c r="G50" s="43">
        <v>3</v>
      </c>
      <c r="H50" s="43">
        <v>4</v>
      </c>
      <c r="I50" s="43">
        <v>5</v>
      </c>
      <c r="J50" s="43">
        <v>6</v>
      </c>
      <c r="K50" s="43">
        <v>7</v>
      </c>
      <c r="L50" s="43">
        <v>8</v>
      </c>
      <c r="M50" s="43">
        <v>9</v>
      </c>
      <c r="N50" s="43">
        <v>10</v>
      </c>
      <c r="O50" s="43">
        <v>11</v>
      </c>
      <c r="P50" s="43">
        <v>12</v>
      </c>
      <c r="Q50" s="43">
        <v>13</v>
      </c>
      <c r="R50" s="43"/>
      <c r="S50" s="44"/>
    </row>
    <row r="51" spans="1:19">
      <c r="A51" s="60" t="s">
        <v>86</v>
      </c>
      <c r="B51" s="88"/>
      <c r="C51" s="88"/>
      <c r="D51" s="8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89"/>
    </row>
    <row r="52" spans="1:19">
      <c r="A52" s="6" t="s">
        <v>87</v>
      </c>
      <c r="B52" s="31"/>
      <c r="C52" s="85"/>
      <c r="D52" s="85"/>
      <c r="E52" s="31">
        <f>B$40/12</f>
        <v>183.33333333333334</v>
      </c>
      <c r="F52" s="31">
        <f t="shared" ref="F52" si="16">E52</f>
        <v>183.33333333333334</v>
      </c>
      <c r="G52" s="31">
        <f t="shared" ref="G52" si="17">F52</f>
        <v>183.33333333333334</v>
      </c>
      <c r="H52" s="31">
        <f t="shared" ref="H52" si="18">G52</f>
        <v>183.33333333333334</v>
      </c>
      <c r="I52" s="31">
        <f t="shared" ref="I52" si="19">H52</f>
        <v>183.33333333333334</v>
      </c>
      <c r="J52" s="31">
        <f t="shared" ref="J52:J59" si="20">I52</f>
        <v>183.33333333333334</v>
      </c>
      <c r="K52" s="31">
        <f t="shared" ref="K52:K60" si="21">J52</f>
        <v>183.33333333333334</v>
      </c>
      <c r="L52" s="31">
        <f t="shared" ref="L52:M62" si="22">K52</f>
        <v>183.33333333333334</v>
      </c>
      <c r="M52" s="31">
        <f t="shared" si="22"/>
        <v>183.33333333333334</v>
      </c>
      <c r="N52" s="31">
        <f t="shared" ref="N52:N63" si="23">M52</f>
        <v>183.33333333333334</v>
      </c>
      <c r="O52" s="31">
        <f t="shared" ref="O52:O64" si="24">N52</f>
        <v>183.33333333333334</v>
      </c>
      <c r="P52" s="31">
        <f t="shared" ref="P52:P65" si="25">O52</f>
        <v>183.33333333333334</v>
      </c>
      <c r="Q52" s="31"/>
      <c r="R52" s="31"/>
      <c r="S52" s="11">
        <f t="shared" ref="S52:S67" si="26">SUM(B52:R52)</f>
        <v>2199.9999999999995</v>
      </c>
    </row>
    <row r="53" spans="1:19">
      <c r="A53" s="6" t="s">
        <v>88</v>
      </c>
      <c r="B53" s="85"/>
      <c r="C53" s="85"/>
      <c r="D53" s="85"/>
      <c r="E53" s="31">
        <f>C$40/12</f>
        <v>2287.458333333333</v>
      </c>
      <c r="F53" s="31">
        <f t="shared" ref="F53" si="27">E53</f>
        <v>2287.458333333333</v>
      </c>
      <c r="G53" s="31">
        <f t="shared" ref="G53" si="28">F53</f>
        <v>2287.458333333333</v>
      </c>
      <c r="H53" s="31">
        <f t="shared" ref="H53" si="29">G53</f>
        <v>2287.458333333333</v>
      </c>
      <c r="I53" s="31">
        <f t="shared" ref="I53" si="30">H53</f>
        <v>2287.458333333333</v>
      </c>
      <c r="J53" s="31">
        <f t="shared" si="20"/>
        <v>2287.458333333333</v>
      </c>
      <c r="K53" s="31">
        <f t="shared" si="21"/>
        <v>2287.458333333333</v>
      </c>
      <c r="L53" s="31">
        <f t="shared" si="22"/>
        <v>2287.458333333333</v>
      </c>
      <c r="M53" s="31">
        <f t="shared" si="22"/>
        <v>2287.458333333333</v>
      </c>
      <c r="N53" s="31">
        <f t="shared" si="23"/>
        <v>2287.458333333333</v>
      </c>
      <c r="O53" s="31">
        <f t="shared" si="24"/>
        <v>2287.458333333333</v>
      </c>
      <c r="P53" s="31">
        <f t="shared" si="25"/>
        <v>2287.458333333333</v>
      </c>
      <c r="Q53" s="31"/>
      <c r="R53" s="31"/>
      <c r="S53" s="11">
        <f t="shared" si="26"/>
        <v>27449.499999999989</v>
      </c>
    </row>
    <row r="54" spans="1:19">
      <c r="A54" s="6" t="s">
        <v>89</v>
      </c>
      <c r="B54" s="85"/>
      <c r="C54" s="85"/>
      <c r="D54" s="85"/>
      <c r="E54" s="31">
        <f>D$40/12</f>
        <v>6362.5849999999991</v>
      </c>
      <c r="F54" s="31">
        <f t="shared" ref="F54" si="31">E54</f>
        <v>6362.5849999999991</v>
      </c>
      <c r="G54" s="31">
        <f t="shared" ref="G54" si="32">F54</f>
        <v>6362.5849999999991</v>
      </c>
      <c r="H54" s="31">
        <f t="shared" ref="H54" si="33">G54</f>
        <v>6362.5849999999991</v>
      </c>
      <c r="I54" s="31">
        <f t="shared" ref="I54" si="34">H54</f>
        <v>6362.5849999999991</v>
      </c>
      <c r="J54" s="31">
        <f t="shared" si="20"/>
        <v>6362.5849999999991</v>
      </c>
      <c r="K54" s="31">
        <f t="shared" si="21"/>
        <v>6362.5849999999991</v>
      </c>
      <c r="L54" s="31">
        <f t="shared" si="22"/>
        <v>6362.5849999999991</v>
      </c>
      <c r="M54" s="31">
        <f t="shared" si="22"/>
        <v>6362.5849999999991</v>
      </c>
      <c r="N54" s="31">
        <f t="shared" si="23"/>
        <v>6362.5849999999991</v>
      </c>
      <c r="O54" s="31">
        <f t="shared" si="24"/>
        <v>6362.5849999999991</v>
      </c>
      <c r="P54" s="31">
        <f t="shared" si="25"/>
        <v>6362.5849999999991</v>
      </c>
      <c r="Q54" s="31"/>
      <c r="R54" s="31"/>
      <c r="S54" s="11">
        <f t="shared" si="26"/>
        <v>76351.01999999999</v>
      </c>
    </row>
    <row r="55" spans="1:19">
      <c r="A55" s="6" t="s">
        <v>90</v>
      </c>
      <c r="B55" s="4"/>
      <c r="C55" s="4"/>
      <c r="D55" s="4"/>
      <c r="E55" s="31">
        <f>E$40/12</f>
        <v>202.81440104166666</v>
      </c>
      <c r="F55" s="31">
        <f t="shared" ref="F55:I55" si="35">E55</f>
        <v>202.81440104166666</v>
      </c>
      <c r="G55" s="31">
        <f t="shared" si="35"/>
        <v>202.81440104166666</v>
      </c>
      <c r="H55" s="31">
        <f t="shared" si="35"/>
        <v>202.81440104166666</v>
      </c>
      <c r="I55" s="31">
        <f t="shared" si="35"/>
        <v>202.81440104166666</v>
      </c>
      <c r="J55" s="31">
        <f t="shared" si="20"/>
        <v>202.81440104166666</v>
      </c>
      <c r="K55" s="31">
        <f t="shared" si="21"/>
        <v>202.81440104166666</v>
      </c>
      <c r="L55" s="31">
        <f t="shared" si="22"/>
        <v>202.81440104166666</v>
      </c>
      <c r="M55" s="31">
        <f t="shared" si="22"/>
        <v>202.81440104166666</v>
      </c>
      <c r="N55" s="31">
        <f t="shared" si="23"/>
        <v>202.81440104166666</v>
      </c>
      <c r="O55" s="31">
        <f t="shared" si="24"/>
        <v>202.81440104166666</v>
      </c>
      <c r="P55" s="31">
        <f t="shared" si="25"/>
        <v>202.81440104166666</v>
      </c>
      <c r="Q55" s="31"/>
      <c r="R55" s="31"/>
      <c r="S55" s="11">
        <f t="shared" si="26"/>
        <v>2433.7728125000003</v>
      </c>
    </row>
    <row r="56" spans="1:19">
      <c r="A56" s="6" t="s">
        <v>91</v>
      </c>
      <c r="B56" s="4"/>
      <c r="C56" s="4"/>
      <c r="D56" s="4"/>
      <c r="E56" s="31"/>
      <c r="F56" s="31">
        <f>F$40/11</f>
        <v>226.78337571022723</v>
      </c>
      <c r="G56" s="31">
        <f t="shared" ref="G56:I56" si="36">F56</f>
        <v>226.78337571022723</v>
      </c>
      <c r="H56" s="31">
        <f t="shared" si="36"/>
        <v>226.78337571022723</v>
      </c>
      <c r="I56" s="31">
        <f t="shared" si="36"/>
        <v>226.78337571022723</v>
      </c>
      <c r="J56" s="31">
        <f t="shared" si="20"/>
        <v>226.78337571022723</v>
      </c>
      <c r="K56" s="31">
        <f t="shared" si="21"/>
        <v>226.78337571022723</v>
      </c>
      <c r="L56" s="31">
        <f t="shared" si="22"/>
        <v>226.78337571022723</v>
      </c>
      <c r="M56" s="31">
        <f t="shared" si="22"/>
        <v>226.78337571022723</v>
      </c>
      <c r="N56" s="31">
        <f t="shared" si="23"/>
        <v>226.78337571022723</v>
      </c>
      <c r="O56" s="31">
        <f t="shared" si="24"/>
        <v>226.78337571022723</v>
      </c>
      <c r="P56" s="31">
        <f t="shared" si="25"/>
        <v>226.78337571022723</v>
      </c>
      <c r="Q56" s="31"/>
      <c r="R56" s="31"/>
      <c r="S56" s="11">
        <f t="shared" si="26"/>
        <v>2494.6171328124988</v>
      </c>
    </row>
    <row r="57" spans="1:19">
      <c r="A57" s="6" t="s">
        <v>92</v>
      </c>
      <c r="B57" s="4"/>
      <c r="C57" s="4"/>
      <c r="D57" s="4"/>
      <c r="E57" s="31"/>
      <c r="F57" s="31"/>
      <c r="G57" s="31">
        <f>G$40/10</f>
        <v>255.69825611328116</v>
      </c>
      <c r="H57" s="31">
        <f t="shared" ref="H57:I57" si="37">G57</f>
        <v>255.69825611328116</v>
      </c>
      <c r="I57" s="31">
        <f t="shared" si="37"/>
        <v>255.69825611328116</v>
      </c>
      <c r="J57" s="31">
        <f t="shared" si="20"/>
        <v>255.69825611328116</v>
      </c>
      <c r="K57" s="31">
        <f t="shared" si="21"/>
        <v>255.69825611328116</v>
      </c>
      <c r="L57" s="31">
        <f t="shared" si="22"/>
        <v>255.69825611328116</v>
      </c>
      <c r="M57" s="31">
        <f t="shared" si="22"/>
        <v>255.69825611328116</v>
      </c>
      <c r="N57" s="31">
        <f t="shared" si="23"/>
        <v>255.69825611328116</v>
      </c>
      <c r="O57" s="31">
        <f t="shared" si="24"/>
        <v>255.69825611328116</v>
      </c>
      <c r="P57" s="31">
        <f t="shared" si="25"/>
        <v>255.69825611328116</v>
      </c>
      <c r="Q57" s="31"/>
      <c r="R57" s="31"/>
      <c r="S57" s="11">
        <f t="shared" si="26"/>
        <v>2556.9825611328115</v>
      </c>
    </row>
    <row r="58" spans="1:19">
      <c r="A58" s="6" t="s">
        <v>93</v>
      </c>
      <c r="B58" s="4"/>
      <c r="C58" s="4"/>
      <c r="D58" s="4"/>
      <c r="E58" s="31"/>
      <c r="F58" s="31"/>
      <c r="G58" s="31"/>
      <c r="H58" s="31">
        <f>H$40/9</f>
        <v>278.32642037109366</v>
      </c>
      <c r="I58" s="31">
        <f>H58</f>
        <v>278.32642037109366</v>
      </c>
      <c r="J58" s="31">
        <f t="shared" si="20"/>
        <v>278.32642037109366</v>
      </c>
      <c r="K58" s="31">
        <f t="shared" si="21"/>
        <v>278.32642037109366</v>
      </c>
      <c r="L58" s="31">
        <f t="shared" si="22"/>
        <v>278.32642037109366</v>
      </c>
      <c r="M58" s="31">
        <f t="shared" si="22"/>
        <v>278.32642037109366</v>
      </c>
      <c r="N58" s="31">
        <f t="shared" si="23"/>
        <v>278.32642037109366</v>
      </c>
      <c r="O58" s="31">
        <f t="shared" si="24"/>
        <v>278.32642037109366</v>
      </c>
      <c r="P58" s="31">
        <f t="shared" si="25"/>
        <v>278.32642037109366</v>
      </c>
      <c r="Q58" s="31"/>
      <c r="R58" s="31"/>
      <c r="S58" s="11">
        <f t="shared" si="26"/>
        <v>2504.937783339843</v>
      </c>
    </row>
    <row r="59" spans="1:19">
      <c r="A59" s="6" t="s">
        <v>94</v>
      </c>
      <c r="B59" s="4"/>
      <c r="C59" s="4"/>
      <c r="D59" s="4"/>
      <c r="E59" s="31"/>
      <c r="F59" s="31"/>
      <c r="G59" s="31"/>
      <c r="H59" s="31"/>
      <c r="I59" s="31">
        <f>I$40/8</f>
        <v>320.9451534904174</v>
      </c>
      <c r="J59" s="31">
        <f t="shared" si="20"/>
        <v>320.9451534904174</v>
      </c>
      <c r="K59" s="31">
        <f t="shared" si="21"/>
        <v>320.9451534904174</v>
      </c>
      <c r="L59" s="31">
        <f t="shared" si="22"/>
        <v>320.9451534904174</v>
      </c>
      <c r="M59" s="31">
        <f t="shared" si="22"/>
        <v>320.9451534904174</v>
      </c>
      <c r="N59" s="31">
        <f t="shared" si="23"/>
        <v>320.9451534904174</v>
      </c>
      <c r="O59" s="31">
        <f t="shared" si="24"/>
        <v>320.9451534904174</v>
      </c>
      <c r="P59" s="31">
        <f t="shared" si="25"/>
        <v>320.9451534904174</v>
      </c>
      <c r="Q59" s="31"/>
      <c r="R59" s="31"/>
      <c r="S59" s="11">
        <f t="shared" si="26"/>
        <v>2567.5612279233392</v>
      </c>
    </row>
    <row r="60" spans="1:19">
      <c r="A60" s="6" t="s">
        <v>95</v>
      </c>
      <c r="B60" s="4"/>
      <c r="C60" s="4"/>
      <c r="D60" s="4"/>
      <c r="E60" s="31"/>
      <c r="F60" s="31"/>
      <c r="G60" s="31"/>
      <c r="H60" s="31"/>
      <c r="I60" s="31"/>
      <c r="J60" s="31">
        <f>J$40/7</f>
        <v>375.96432266020321</v>
      </c>
      <c r="K60" s="31">
        <f t="shared" si="21"/>
        <v>375.96432266020321</v>
      </c>
      <c r="L60" s="31">
        <f t="shared" si="22"/>
        <v>375.96432266020321</v>
      </c>
      <c r="M60" s="31">
        <f t="shared" si="22"/>
        <v>375.96432266020321</v>
      </c>
      <c r="N60" s="31">
        <f t="shared" si="23"/>
        <v>375.96432266020321</v>
      </c>
      <c r="O60" s="31">
        <f t="shared" si="24"/>
        <v>375.96432266020321</v>
      </c>
      <c r="P60" s="31">
        <f t="shared" si="25"/>
        <v>375.96432266020321</v>
      </c>
      <c r="Q60" s="31"/>
      <c r="R60" s="31"/>
      <c r="S60" s="11">
        <f t="shared" si="26"/>
        <v>2631.7502586214227</v>
      </c>
    </row>
    <row r="61" spans="1:19">
      <c r="A61" s="6" t="s">
        <v>96</v>
      </c>
      <c r="B61" s="4"/>
      <c r="C61" s="4"/>
      <c r="D61" s="4"/>
      <c r="E61" s="31"/>
      <c r="F61" s="31"/>
      <c r="G61" s="31"/>
      <c r="H61" s="31"/>
      <c r="I61" s="31"/>
      <c r="J61" s="31"/>
      <c r="K61" s="31">
        <f>K$40/6</f>
        <v>449.59066918115951</v>
      </c>
      <c r="L61" s="31">
        <f t="shared" si="22"/>
        <v>449.59066918115951</v>
      </c>
      <c r="M61" s="31">
        <f t="shared" si="22"/>
        <v>449.59066918115951</v>
      </c>
      <c r="N61" s="31">
        <f t="shared" si="23"/>
        <v>449.59066918115951</v>
      </c>
      <c r="O61" s="31">
        <f t="shared" si="24"/>
        <v>449.59066918115951</v>
      </c>
      <c r="P61" s="31">
        <f t="shared" si="25"/>
        <v>449.59066918115951</v>
      </c>
      <c r="Q61" s="31"/>
      <c r="R61" s="31"/>
      <c r="S61" s="11">
        <f t="shared" si="26"/>
        <v>2697.5440150869572</v>
      </c>
    </row>
    <row r="62" spans="1:19">
      <c r="A62" s="6" t="s">
        <v>97</v>
      </c>
      <c r="B62" s="4"/>
      <c r="C62" s="4"/>
      <c r="D62" s="4"/>
      <c r="E62" s="31"/>
      <c r="F62" s="31"/>
      <c r="G62" s="31"/>
      <c r="H62" s="31"/>
      <c r="I62" s="31"/>
      <c r="J62" s="31"/>
      <c r="K62" s="31"/>
      <c r="L62" s="31">
        <f>L$40/5</f>
        <v>552.99652309282624</v>
      </c>
      <c r="M62" s="31">
        <f t="shared" si="22"/>
        <v>552.99652309282624</v>
      </c>
      <c r="N62" s="31">
        <f t="shared" si="23"/>
        <v>552.99652309282624</v>
      </c>
      <c r="O62" s="31">
        <f t="shared" si="24"/>
        <v>552.99652309282624</v>
      </c>
      <c r="P62" s="31">
        <f t="shared" si="25"/>
        <v>552.99652309282624</v>
      </c>
      <c r="Q62" s="31"/>
      <c r="R62" s="31"/>
      <c r="S62" s="11">
        <f t="shared" si="26"/>
        <v>2764.9826154641314</v>
      </c>
    </row>
    <row r="63" spans="1:19">
      <c r="A63" s="6" t="s">
        <v>98</v>
      </c>
      <c r="B63" s="4"/>
      <c r="C63" s="4"/>
      <c r="D63" s="4"/>
      <c r="E63" s="31"/>
      <c r="F63" s="31"/>
      <c r="G63" s="31"/>
      <c r="H63" s="31"/>
      <c r="I63" s="31"/>
      <c r="J63" s="31"/>
      <c r="K63" s="31"/>
      <c r="L63" s="31"/>
      <c r="M63" s="31">
        <f>M$40/4</f>
        <v>708.52679521268362</v>
      </c>
      <c r="N63" s="31">
        <f t="shared" si="23"/>
        <v>708.52679521268362</v>
      </c>
      <c r="O63" s="31">
        <f t="shared" si="24"/>
        <v>708.52679521268362</v>
      </c>
      <c r="P63" s="31">
        <f t="shared" si="25"/>
        <v>708.52679521268362</v>
      </c>
      <c r="Q63" s="31"/>
      <c r="R63" s="31"/>
      <c r="S63" s="11">
        <f t="shared" si="26"/>
        <v>2834.1071808507345</v>
      </c>
    </row>
    <row r="64" spans="1:19">
      <c r="A64" s="6" t="s">
        <v>99</v>
      </c>
      <c r="B64" s="4"/>
      <c r="C64" s="4"/>
      <c r="D64" s="4"/>
      <c r="E64" s="31"/>
      <c r="F64" s="31"/>
      <c r="G64" s="31"/>
      <c r="H64" s="31"/>
      <c r="I64" s="31"/>
      <c r="J64" s="31"/>
      <c r="K64" s="31"/>
      <c r="L64" s="31"/>
      <c r="M64" s="31"/>
      <c r="N64" s="31">
        <f>N$40/3</f>
        <v>968.31995345733424</v>
      </c>
      <c r="O64" s="31">
        <f t="shared" si="24"/>
        <v>968.31995345733424</v>
      </c>
      <c r="P64" s="31">
        <f t="shared" si="25"/>
        <v>968.31995345733424</v>
      </c>
      <c r="Q64" s="31"/>
      <c r="R64" s="31"/>
      <c r="S64" s="11">
        <f t="shared" si="26"/>
        <v>2904.9598603720028</v>
      </c>
    </row>
    <row r="65" spans="1:19">
      <c r="A65" s="5" t="s">
        <v>307</v>
      </c>
      <c r="B65" s="4"/>
      <c r="C65" s="4"/>
      <c r="D65" s="4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>
        <f>O$40/2</f>
        <v>1488.7919284406512</v>
      </c>
      <c r="P65" s="31">
        <f t="shared" si="25"/>
        <v>1488.7919284406512</v>
      </c>
      <c r="Q65" s="31"/>
      <c r="R65" s="31"/>
      <c r="S65" s="11">
        <f t="shared" si="26"/>
        <v>2977.5838568813024</v>
      </c>
    </row>
    <row r="66" spans="1:19">
      <c r="A66" s="5" t="s">
        <v>308</v>
      </c>
      <c r="B66" s="4"/>
      <c r="C66" s="4"/>
      <c r="D66" s="4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>
        <f>P$40</f>
        <v>1526.0117266516675</v>
      </c>
      <c r="Q66" s="31"/>
      <c r="R66" s="31"/>
      <c r="S66" s="11">
        <f t="shared" si="26"/>
        <v>1526.0117266516675</v>
      </c>
    </row>
    <row r="67" spans="1:19">
      <c r="A67" s="5" t="s">
        <v>309</v>
      </c>
      <c r="B67" s="4"/>
      <c r="C67" s="4"/>
      <c r="D67" s="4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>
        <f>Q$40</f>
        <v>0</v>
      </c>
      <c r="R67" s="31"/>
      <c r="S67" s="11">
        <f t="shared" si="26"/>
        <v>0</v>
      </c>
    </row>
    <row r="68" spans="1:19">
      <c r="A68" s="6"/>
      <c r="B68" s="4"/>
      <c r="C68" s="4"/>
      <c r="D68" s="4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11"/>
    </row>
    <row r="69" spans="1:19">
      <c r="A69" s="6" t="s">
        <v>5</v>
      </c>
      <c r="B69" s="58">
        <f>SUM(B51:B67)</f>
        <v>0</v>
      </c>
      <c r="C69" s="58">
        <f t="shared" ref="C69:R69" si="38">SUM(C51:C67)</f>
        <v>0</v>
      </c>
      <c r="D69" s="58">
        <f t="shared" si="38"/>
        <v>0</v>
      </c>
      <c r="E69" s="58">
        <f t="shared" si="38"/>
        <v>9036.1910677083324</v>
      </c>
      <c r="F69" s="58">
        <f t="shared" si="38"/>
        <v>9262.9744434185595</v>
      </c>
      <c r="G69" s="58">
        <f t="shared" si="38"/>
        <v>9518.6726995318404</v>
      </c>
      <c r="H69" s="58">
        <f t="shared" si="38"/>
        <v>9796.9991199029337</v>
      </c>
      <c r="I69" s="58">
        <f t="shared" si="38"/>
        <v>10117.94427339335</v>
      </c>
      <c r="J69" s="58">
        <f t="shared" si="38"/>
        <v>10493.908596053554</v>
      </c>
      <c r="K69" s="58">
        <f t="shared" si="38"/>
        <v>10943.499265234714</v>
      </c>
      <c r="L69" s="58">
        <f t="shared" si="38"/>
        <v>11496.49578832754</v>
      </c>
      <c r="M69" s="58">
        <f t="shared" si="38"/>
        <v>12205.022583540223</v>
      </c>
      <c r="N69" s="58">
        <f t="shared" si="38"/>
        <v>13173.342536997558</v>
      </c>
      <c r="O69" s="58">
        <f t="shared" si="38"/>
        <v>14662.134465438208</v>
      </c>
      <c r="P69" s="58">
        <f t="shared" si="38"/>
        <v>16188.146192089876</v>
      </c>
      <c r="Q69" s="58">
        <f t="shared" si="38"/>
        <v>0</v>
      </c>
      <c r="R69" s="58">
        <f t="shared" si="38"/>
        <v>0</v>
      </c>
      <c r="S69" s="59">
        <f>SUM(B69:R69)</f>
        <v>136895.33103163668</v>
      </c>
    </row>
    <row r="70" spans="1:19">
      <c r="A70" s="8"/>
      <c r="B70" s="34"/>
      <c r="C70" s="34"/>
      <c r="D70" s="34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2"/>
    </row>
    <row r="73" spans="1:19">
      <c r="A73" s="13" t="s">
        <v>0</v>
      </c>
      <c r="B73" s="77"/>
      <c r="C73" s="77"/>
      <c r="D73" s="77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5"/>
    </row>
    <row r="74" spans="1:19">
      <c r="A74" s="16" t="str">
        <f>Title!$F$10</f>
        <v>ARTHUR RIVER MAGNESITE PROJECT</v>
      </c>
      <c r="B74" s="78"/>
      <c r="C74" s="78"/>
      <c r="D74" s="78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</row>
    <row r="75" spans="1:19">
      <c r="A75" s="16" t="str">
        <f>Title!$F$12</f>
        <v>ORDER OF MAGNITUDE COST STUDY: CALCINE PRODUCTION ONLY</v>
      </c>
      <c r="B75" s="78"/>
      <c r="C75" s="78"/>
      <c r="D75" s="78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</row>
    <row r="76" spans="1:19">
      <c r="A76" s="19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 t="str">
        <f>Title!$F$19</f>
        <v>3 October 2011</v>
      </c>
      <c r="S76" s="18"/>
    </row>
    <row r="77" spans="1:19">
      <c r="A77" s="20" t="s">
        <v>585</v>
      </c>
      <c r="B77" s="79"/>
      <c r="C77" s="79"/>
      <c r="D77" s="79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</row>
    <row r="78" spans="1:19">
      <c r="A78" s="38"/>
      <c r="B78" s="41" t="s">
        <v>26</v>
      </c>
      <c r="C78" s="41" t="s">
        <v>26</v>
      </c>
      <c r="D78" s="41" t="s">
        <v>26</v>
      </c>
      <c r="E78" s="41" t="s">
        <v>26</v>
      </c>
      <c r="F78" s="41" t="s">
        <v>26</v>
      </c>
      <c r="G78" s="41" t="s">
        <v>26</v>
      </c>
      <c r="H78" s="41" t="s">
        <v>26</v>
      </c>
      <c r="I78" s="41" t="s">
        <v>26</v>
      </c>
      <c r="J78" s="41" t="s">
        <v>26</v>
      </c>
      <c r="K78" s="41" t="s">
        <v>26</v>
      </c>
      <c r="L78" s="41" t="s">
        <v>26</v>
      </c>
      <c r="M78" s="41" t="s">
        <v>26</v>
      </c>
      <c r="N78" s="41" t="s">
        <v>26</v>
      </c>
      <c r="O78" s="41" t="s">
        <v>26</v>
      </c>
      <c r="P78" s="41" t="s">
        <v>26</v>
      </c>
      <c r="Q78" s="41" t="s">
        <v>26</v>
      </c>
      <c r="R78" s="41"/>
      <c r="S78" s="42" t="s">
        <v>5</v>
      </c>
    </row>
    <row r="79" spans="1:19">
      <c r="A79" s="8"/>
      <c r="B79" s="43">
        <v>-3</v>
      </c>
      <c r="C79" s="43">
        <v>-2</v>
      </c>
      <c r="D79" s="43">
        <v>-1</v>
      </c>
      <c r="E79" s="43">
        <v>1</v>
      </c>
      <c r="F79" s="43">
        <v>2</v>
      </c>
      <c r="G79" s="43">
        <v>3</v>
      </c>
      <c r="H79" s="43">
        <v>4</v>
      </c>
      <c r="I79" s="43">
        <v>5</v>
      </c>
      <c r="J79" s="43">
        <v>6</v>
      </c>
      <c r="K79" s="43">
        <v>7</v>
      </c>
      <c r="L79" s="43">
        <v>8</v>
      </c>
      <c r="M79" s="43">
        <v>9</v>
      </c>
      <c r="N79" s="43">
        <v>10</v>
      </c>
      <c r="O79" s="43">
        <v>11</v>
      </c>
      <c r="P79" s="43">
        <v>12</v>
      </c>
      <c r="Q79" s="43">
        <v>13</v>
      </c>
      <c r="R79" s="43"/>
      <c r="S79" s="44"/>
    </row>
    <row r="80" spans="1:19">
      <c r="A80" s="5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11"/>
    </row>
    <row r="81" spans="1:19">
      <c r="A81" s="39" t="s">
        <v>649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11"/>
    </row>
    <row r="82" spans="1:19">
      <c r="A82" s="5" t="s">
        <v>202</v>
      </c>
      <c r="B82" s="31"/>
      <c r="C82" s="31"/>
      <c r="D82" s="31">
        <f>Physical!D526*Input!$F205/1000</f>
        <v>5263.8698136252551</v>
      </c>
      <c r="E82" s="31">
        <f>Physical!E526*Input!$F205/1000</f>
        <v>296.55604583804251</v>
      </c>
      <c r="F82" s="31">
        <f>Physical!F526*Input!$F205/1000</f>
        <v>988.52015279347506</v>
      </c>
      <c r="G82" s="31">
        <f>Physical!G526*Input!$F205/1000</f>
        <v>1334.5022062711914</v>
      </c>
      <c r="H82" s="31">
        <f>Physical!H526*Input!$F205/1000</f>
        <v>0</v>
      </c>
      <c r="I82" s="31">
        <f>Physical!I526*Input!$F205/1000</f>
        <v>0</v>
      </c>
      <c r="J82" s="31">
        <f>Physical!J526*Input!$F205/1000</f>
        <v>0</v>
      </c>
      <c r="K82" s="31">
        <f>Physical!K526*Input!$F205/1000</f>
        <v>0</v>
      </c>
      <c r="L82" s="31">
        <f>Physical!L526*Input!$F205/1000</f>
        <v>0</v>
      </c>
      <c r="M82" s="31">
        <f>Physical!M526*Input!$F205/1000</f>
        <v>0</v>
      </c>
      <c r="N82" s="31">
        <f>Physical!N526*Input!$F205/1000</f>
        <v>0</v>
      </c>
      <c r="O82" s="31">
        <f>Physical!O526*Input!$F205/1000</f>
        <v>0</v>
      </c>
      <c r="P82" s="31">
        <f>Physical!P526*Input!$F205/1000</f>
        <v>0</v>
      </c>
      <c r="Q82" s="31">
        <f>Physical!Q526*Input!$F205/1000</f>
        <v>0</v>
      </c>
      <c r="R82" s="31"/>
      <c r="S82" s="11">
        <f t="shared" ref="S82:S146" si="39">SUM(B82:R82)</f>
        <v>7883.4482185279639</v>
      </c>
    </row>
    <row r="83" spans="1:19">
      <c r="A83" s="5" t="s">
        <v>316</v>
      </c>
      <c r="B83" s="31"/>
      <c r="C83" s="31"/>
      <c r="D83" s="31">
        <f>Physical!D527*Input!$F206/1000</f>
        <v>651.25558976616662</v>
      </c>
      <c r="E83" s="31">
        <f>Physical!E527*Input!$F206/1000</f>
        <v>831.3901145951063</v>
      </c>
      <c r="F83" s="31">
        <f>Physical!F527*Input!$F206/1000</f>
        <v>0</v>
      </c>
      <c r="G83" s="31">
        <f>Physical!G527*Input!$F206/1000</f>
        <v>321.662361327491</v>
      </c>
      <c r="H83" s="31">
        <f>Physical!H527*Input!$F206/1000</f>
        <v>311.61293950058149</v>
      </c>
      <c r="I83" s="31">
        <f>Physical!I527*Input!$F206/1000</f>
        <v>128.8323042174417</v>
      </c>
      <c r="J83" s="31">
        <f>Physical!J527*Input!$F206/1000</f>
        <v>0</v>
      </c>
      <c r="K83" s="31">
        <f>Physical!K527*Input!$F206/1000</f>
        <v>0</v>
      </c>
      <c r="L83" s="31">
        <f>Physical!L527*Input!$F206/1000</f>
        <v>0</v>
      </c>
      <c r="M83" s="31">
        <f>Physical!M527*Input!$F206/1000</f>
        <v>0</v>
      </c>
      <c r="N83" s="31">
        <f>Physical!N527*Input!$F206/1000</f>
        <v>0</v>
      </c>
      <c r="O83" s="31">
        <f>Physical!O527*Input!$F206/1000</f>
        <v>0</v>
      </c>
      <c r="P83" s="31">
        <f>Physical!P527*Input!$F206/1000</f>
        <v>0</v>
      </c>
      <c r="Q83" s="31">
        <f>Physical!Q527*Input!$F206/1000</f>
        <v>0</v>
      </c>
      <c r="R83" s="31"/>
      <c r="S83" s="11">
        <f t="shared" si="39"/>
        <v>2244.7533094067871</v>
      </c>
    </row>
    <row r="84" spans="1:19">
      <c r="A84" s="5" t="s">
        <v>203</v>
      </c>
      <c r="B84" s="31"/>
      <c r="C84" s="31"/>
      <c r="D84" s="31">
        <f>Physical!D528*Input!$F207/1000</f>
        <v>170.92819718926594</v>
      </c>
      <c r="E84" s="31">
        <f>Physical!E528*Input!$F207/1000</f>
        <v>1681.5032032578465</v>
      </c>
      <c r="F84" s="31">
        <f>Physical!F528*Input!$F207/1000</f>
        <v>775.17711155700715</v>
      </c>
      <c r="G84" s="31">
        <f>Physical!G528*Input!$F207/1000</f>
        <v>273.75095645577483</v>
      </c>
      <c r="H84" s="31">
        <f>Physical!H528*Input!$F207/1000</f>
        <v>533.87931283841306</v>
      </c>
      <c r="I84" s="31">
        <f>Physical!I528*Input!$F207/1000</f>
        <v>538.40716056150859</v>
      </c>
      <c r="J84" s="31">
        <f>Physical!J528*Input!$F207/1000</f>
        <v>541.69066568670485</v>
      </c>
      <c r="K84" s="31">
        <f>Physical!K528*Input!$F207/1000</f>
        <v>551.8423878813453</v>
      </c>
      <c r="L84" s="31">
        <f>Physical!L528*Input!$F207/1000</f>
        <v>539.1629911989088</v>
      </c>
      <c r="M84" s="31">
        <f>Physical!M528*Input!$F207/1000</f>
        <v>398.02895265756871</v>
      </c>
      <c r="N84" s="31">
        <f>Physical!N528*Input!$F207/1000</f>
        <v>873.09077917005186</v>
      </c>
      <c r="O84" s="31">
        <f>Physical!O528*Input!$F207/1000</f>
        <v>603.03168481159742</v>
      </c>
      <c r="P84" s="31">
        <f>Physical!P528*Input!$F207/1000</f>
        <v>638.59596322413915</v>
      </c>
      <c r="Q84" s="31">
        <f>Physical!Q528*Input!$F207/1000</f>
        <v>0</v>
      </c>
      <c r="R84" s="31"/>
      <c r="S84" s="11">
        <f t="shared" si="39"/>
        <v>8119.0893664901323</v>
      </c>
    </row>
    <row r="85" spans="1:19">
      <c r="A85" s="5" t="s">
        <v>204</v>
      </c>
      <c r="B85" s="31"/>
      <c r="C85" s="31"/>
      <c r="D85" s="31">
        <f>Physical!D530*Input!$F208/1000</f>
        <v>0</v>
      </c>
      <c r="E85" s="31">
        <f>Physical!E530*Input!$F208/1000</f>
        <v>1580.0594232990932</v>
      </c>
      <c r="F85" s="31">
        <f>Physical!F530*Input!$F208/1000</f>
        <v>2178.6501661735856</v>
      </c>
      <c r="G85" s="31">
        <f>Physical!G530*Input!$F208/1000</f>
        <v>1942.7366702109116</v>
      </c>
      <c r="H85" s="31">
        <f>Physical!H530*Input!$F208/1000</f>
        <v>1901.9450519868467</v>
      </c>
      <c r="I85" s="31">
        <f>Physical!I530*Input!$F208/1000</f>
        <v>1913.0455488671998</v>
      </c>
      <c r="J85" s="31">
        <f>Physical!J530*Input!$F208/1000</f>
        <v>1921.2149561094454</v>
      </c>
      <c r="K85" s="31">
        <f>Physical!K530*Input!$F208/1000</f>
        <v>1952.8388019058991</v>
      </c>
      <c r="L85" s="31">
        <f>Physical!L530*Input!$F208/1000</f>
        <v>1907.2114899717496</v>
      </c>
      <c r="M85" s="31">
        <f>Physical!M530*Input!$F208/1000</f>
        <v>1927.7720828459323</v>
      </c>
      <c r="N85" s="31">
        <f>Physical!N530*Input!$F208/1000</f>
        <v>1976.4684924244582</v>
      </c>
      <c r="O85" s="31">
        <f>Physical!O530*Input!$F208/1000</f>
        <v>2028.2964903366321</v>
      </c>
      <c r="P85" s="31">
        <f>Physical!P530*Input!$F208/1000</f>
        <v>2051.5398699773395</v>
      </c>
      <c r="Q85" s="31">
        <f>Physical!Q530*Input!$F208/1000</f>
        <v>3069.1765553549931</v>
      </c>
      <c r="R85" s="31"/>
      <c r="S85" s="11">
        <f t="shared" si="39"/>
        <v>26350.955599464087</v>
      </c>
    </row>
    <row r="86" spans="1:19">
      <c r="A86" s="5" t="s">
        <v>458</v>
      </c>
      <c r="B86" s="31"/>
      <c r="C86" s="31"/>
      <c r="D86" s="31">
        <f>SUM(D82:D85)*Input!$B210</f>
        <v>456.45402004355157</v>
      </c>
      <c r="E86" s="31">
        <f>SUM(E82:E85)*Input!$B210</f>
        <v>329.21315902425664</v>
      </c>
      <c r="F86" s="31">
        <f>SUM(F82:F85)*Input!$B210</f>
        <v>295.67605728930511</v>
      </c>
      <c r="G86" s="31">
        <f>SUM(G82:G85)*Input!$B210</f>
        <v>290.44891456990268</v>
      </c>
      <c r="H86" s="31">
        <f>SUM(H82:H85)*Input!$B210</f>
        <v>206.05779782443807</v>
      </c>
      <c r="I86" s="31">
        <f>SUM(I82:I85)*Input!$B210</f>
        <v>193.52137602346127</v>
      </c>
      <c r="J86" s="31">
        <f>SUM(J82:J85)*Input!$B210</f>
        <v>184.71792163471125</v>
      </c>
      <c r="K86" s="31">
        <f>SUM(K82:K85)*Input!$B210</f>
        <v>187.85108923404331</v>
      </c>
      <c r="L86" s="31">
        <f>SUM(L82:L85)*Input!$B210</f>
        <v>183.47808608779937</v>
      </c>
      <c r="M86" s="31">
        <f>SUM(M82:M85)*Input!$B210</f>
        <v>174.43507766276258</v>
      </c>
      <c r="N86" s="31">
        <f>SUM(N82:N85)*Input!$B210</f>
        <v>213.71694536958825</v>
      </c>
      <c r="O86" s="31">
        <f>SUM(O82:O85)*Input!$B210</f>
        <v>197.3496131361172</v>
      </c>
      <c r="P86" s="31">
        <f>SUM(P82:P85)*Input!$B210</f>
        <v>201.76018749011089</v>
      </c>
      <c r="Q86" s="31">
        <f>SUM(Q82:Q85)*Input!$B210</f>
        <v>230.18824165162448</v>
      </c>
      <c r="R86" s="31"/>
      <c r="S86" s="11">
        <f t="shared" si="39"/>
        <v>3344.8684870416728</v>
      </c>
    </row>
    <row r="87" spans="1:19">
      <c r="A87" s="5" t="s">
        <v>80</v>
      </c>
      <c r="B87" s="31"/>
      <c r="C87" s="31"/>
      <c r="D87" s="31">
        <f>SUM(D82:D86)</f>
        <v>6542.5076206242393</v>
      </c>
      <c r="E87" s="31">
        <f t="shared" ref="E87:Q87" si="40">SUM(E82:E86)</f>
        <v>4718.721946014346</v>
      </c>
      <c r="F87" s="31">
        <f t="shared" si="40"/>
        <v>4238.0234878133733</v>
      </c>
      <c r="G87" s="31">
        <f t="shared" si="40"/>
        <v>4163.1011088352716</v>
      </c>
      <c r="H87" s="31">
        <f t="shared" si="40"/>
        <v>2953.4951021502793</v>
      </c>
      <c r="I87" s="31">
        <f t="shared" si="40"/>
        <v>2773.8063896696117</v>
      </c>
      <c r="J87" s="31">
        <f t="shared" si="40"/>
        <v>2647.6235434308614</v>
      </c>
      <c r="K87" s="31">
        <f t="shared" si="40"/>
        <v>2692.5322790212876</v>
      </c>
      <c r="L87" s="31">
        <f t="shared" si="40"/>
        <v>2629.8525672584578</v>
      </c>
      <c r="M87" s="31">
        <f t="shared" si="40"/>
        <v>2500.2361131662637</v>
      </c>
      <c r="N87" s="31">
        <f t="shared" si="40"/>
        <v>3063.2762169640982</v>
      </c>
      <c r="O87" s="31">
        <f t="shared" si="40"/>
        <v>2828.6777882843467</v>
      </c>
      <c r="P87" s="31">
        <f t="shared" si="40"/>
        <v>2891.8960206915899</v>
      </c>
      <c r="Q87" s="31">
        <f t="shared" si="40"/>
        <v>3299.3647970066177</v>
      </c>
      <c r="R87" s="31"/>
      <c r="S87" s="11">
        <f t="shared" si="39"/>
        <v>47943.114980930637</v>
      </c>
    </row>
    <row r="88" spans="1:19">
      <c r="A88" s="5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11"/>
    </row>
    <row r="89" spans="1:19">
      <c r="A89" s="39" t="s">
        <v>777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11"/>
    </row>
    <row r="90" spans="1:19">
      <c r="A90" s="5" t="s">
        <v>321</v>
      </c>
      <c r="B90" s="31"/>
      <c r="C90" s="31"/>
      <c r="D90" s="31">
        <f>IF(SUM(D82:D86)=0,0,Input!$B212/1000)</f>
        <v>120</v>
      </c>
      <c r="E90" s="31">
        <f>IF(SUM(E82:E86)=0,0,Input!$B212/1000)</f>
        <v>120</v>
      </c>
      <c r="F90" s="31">
        <f>IF(SUM(F82:F86)=0,0,Input!$B212/1000)</f>
        <v>120</v>
      </c>
      <c r="G90" s="31">
        <f>IF(SUM(G82:G86)=0,0,Input!$B212/1000)</f>
        <v>120</v>
      </c>
      <c r="H90" s="31">
        <f>IF(SUM(H82:H86)=0,0,Input!$B212/1000)</f>
        <v>120</v>
      </c>
      <c r="I90" s="31">
        <f>IF(SUM(I82:I86)=0,0,Input!$B212/1000)</f>
        <v>120</v>
      </c>
      <c r="J90" s="31">
        <f>IF(SUM(J82:J86)=0,0,Input!$B212/1000)</f>
        <v>120</v>
      </c>
      <c r="K90" s="31">
        <f>IF(SUM(K82:K86)=0,0,Input!$B212/1000)</f>
        <v>120</v>
      </c>
      <c r="L90" s="31">
        <f>IF(SUM(L82:L86)=0,0,Input!$B212/1000)</f>
        <v>120</v>
      </c>
      <c r="M90" s="31">
        <f>IF(SUM(M82:M86)=0,0,Input!$B212/1000)</f>
        <v>120</v>
      </c>
      <c r="N90" s="31">
        <f>IF(SUM(N82:N86)=0,0,Input!$B212/1000)</f>
        <v>120</v>
      </c>
      <c r="O90" s="31">
        <f>IF(SUM(O82:O86)=0,0,Input!$B212/1000)</f>
        <v>120</v>
      </c>
      <c r="P90" s="31">
        <f>IF(SUM(P82:P86)=0,0,Input!$B212/1000)</f>
        <v>120</v>
      </c>
      <c r="Q90" s="31">
        <f>IF(SUM(Q82:Q86)=0,0,Input!$B212/1000)</f>
        <v>120</v>
      </c>
      <c r="R90" s="31"/>
      <c r="S90" s="11">
        <f t="shared" si="39"/>
        <v>1680</v>
      </c>
    </row>
    <row r="91" spans="1:19">
      <c r="A91" s="5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11"/>
    </row>
    <row r="92" spans="1:19">
      <c r="A92" s="39" t="s">
        <v>737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11"/>
    </row>
    <row r="93" spans="1:19">
      <c r="A93" s="5" t="s">
        <v>111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11"/>
    </row>
    <row r="94" spans="1:19">
      <c r="A94" s="5" t="s">
        <v>738</v>
      </c>
      <c r="B94" s="31"/>
      <c r="C94" s="31"/>
      <c r="D94" s="31">
        <f>Physical!D651*Labour!$D17*'Phys Input'!$B$8/1000</f>
        <v>0</v>
      </c>
      <c r="E94" s="31">
        <f>Physical!E651*Labour!$D17*'Phys Input'!$B$8/1000</f>
        <v>106.35</v>
      </c>
      <c r="F94" s="31">
        <f>Physical!F651*Labour!$D17*'Phys Input'!$B$8/1000</f>
        <v>106.35</v>
      </c>
      <c r="G94" s="31">
        <f>Physical!G651*Labour!$D17*'Phys Input'!$B$8/1000</f>
        <v>106.35</v>
      </c>
      <c r="H94" s="31">
        <f>Physical!H651*Labour!$D17*'Phys Input'!$B$8/1000</f>
        <v>106.35</v>
      </c>
      <c r="I94" s="31">
        <f>Physical!I651*Labour!$D17*'Phys Input'!$B$8/1000</f>
        <v>106.35</v>
      </c>
      <c r="J94" s="31">
        <f>Physical!J651*Labour!$D17*'Phys Input'!$B$8/1000</f>
        <v>106.35</v>
      </c>
      <c r="K94" s="31">
        <f>Physical!K651*Labour!$D17*'Phys Input'!$B$8/1000</f>
        <v>106.35</v>
      </c>
      <c r="L94" s="31">
        <f>Physical!L651*Labour!$D17*'Phys Input'!$B$8/1000</f>
        <v>106.35</v>
      </c>
      <c r="M94" s="31">
        <f>Physical!M651*Labour!$D17*'Phys Input'!$B$8/1000</f>
        <v>106.35</v>
      </c>
      <c r="N94" s="31">
        <f>Physical!N651*Labour!$D17*'Phys Input'!$B$8/1000</f>
        <v>106.35</v>
      </c>
      <c r="O94" s="31">
        <f>Physical!O651*Labour!$D17*'Phys Input'!$B$8/1000</f>
        <v>106.35</v>
      </c>
      <c r="P94" s="31">
        <f>Physical!P651*Labour!$D17*'Phys Input'!$B$8/1000</f>
        <v>106.35</v>
      </c>
      <c r="Q94" s="31">
        <f>Physical!Q651*Labour!$D17*'Phys Input'!$B$8/1000</f>
        <v>106.35</v>
      </c>
      <c r="R94" s="31"/>
      <c r="S94" s="11">
        <f t="shared" si="39"/>
        <v>1382.5499999999997</v>
      </c>
    </row>
    <row r="95" spans="1:19">
      <c r="A95" s="5" t="s">
        <v>740</v>
      </c>
      <c r="B95" s="31"/>
      <c r="C95" s="31"/>
      <c r="D95" s="31">
        <f>Physical!D652*Labour!$D18*'Phys Input'!$B$8/1000</f>
        <v>0</v>
      </c>
      <c r="E95" s="31">
        <f>Physical!E652*Labour!$D18*'Phys Input'!$B$8/1000</f>
        <v>88.625</v>
      </c>
      <c r="F95" s="31">
        <f>Physical!F652*Labour!$D18*'Phys Input'!$B$8/1000</f>
        <v>88.625</v>
      </c>
      <c r="G95" s="31">
        <f>Physical!G652*Labour!$D18*'Phys Input'!$B$8/1000</f>
        <v>88.625</v>
      </c>
      <c r="H95" s="31">
        <f>Physical!H652*Labour!$D18*'Phys Input'!$B$8/1000</f>
        <v>88.625</v>
      </c>
      <c r="I95" s="31">
        <f>Physical!I652*Labour!$D18*'Phys Input'!$B$8/1000</f>
        <v>88.625</v>
      </c>
      <c r="J95" s="31">
        <f>Physical!J652*Labour!$D18*'Phys Input'!$B$8/1000</f>
        <v>88.625</v>
      </c>
      <c r="K95" s="31">
        <f>Physical!K652*Labour!$D18*'Phys Input'!$B$8/1000</f>
        <v>88.625</v>
      </c>
      <c r="L95" s="31">
        <f>Physical!L652*Labour!$D18*'Phys Input'!$B$8/1000</f>
        <v>88.625</v>
      </c>
      <c r="M95" s="31">
        <f>Physical!M652*Labour!$D18*'Phys Input'!$B$8/1000</f>
        <v>88.625</v>
      </c>
      <c r="N95" s="31">
        <f>Physical!N652*Labour!$D18*'Phys Input'!$B$8/1000</f>
        <v>88.625</v>
      </c>
      <c r="O95" s="31">
        <f>Physical!O652*Labour!$D18*'Phys Input'!$B$8/1000</f>
        <v>88.625</v>
      </c>
      <c r="P95" s="31">
        <f>Physical!P652*Labour!$D18*'Phys Input'!$B$8/1000</f>
        <v>88.625</v>
      </c>
      <c r="Q95" s="31">
        <f>Physical!Q652*Labour!$D18*'Phys Input'!$B$8/1000</f>
        <v>88.625</v>
      </c>
      <c r="R95" s="31"/>
      <c r="S95" s="11">
        <f t="shared" si="39"/>
        <v>1152.125</v>
      </c>
    </row>
    <row r="96" spans="1:19">
      <c r="A96" s="5" t="s">
        <v>741</v>
      </c>
      <c r="B96" s="31"/>
      <c r="C96" s="31"/>
      <c r="D96" s="31">
        <f>Physical!D653*Labour!$D19*'Phys Input'!$B$8/1000</f>
        <v>0</v>
      </c>
      <c r="E96" s="31">
        <f>Physical!E653*Labour!$D19*'Phys Input'!$B$8/1000</f>
        <v>177.25</v>
      </c>
      <c r="F96" s="31">
        <f>Physical!F653*Labour!$D19*'Phys Input'!$B$8/1000</f>
        <v>177.25</v>
      </c>
      <c r="G96" s="31">
        <f>Physical!G653*Labour!$D19*'Phys Input'!$B$8/1000</f>
        <v>177.25</v>
      </c>
      <c r="H96" s="31">
        <f>Physical!H653*Labour!$D19*'Phys Input'!$B$8/1000</f>
        <v>177.25</v>
      </c>
      <c r="I96" s="31">
        <f>Physical!I653*Labour!$D19*'Phys Input'!$B$8/1000</f>
        <v>177.25</v>
      </c>
      <c r="J96" s="31">
        <f>Physical!J653*Labour!$D19*'Phys Input'!$B$8/1000</f>
        <v>177.25</v>
      </c>
      <c r="K96" s="31">
        <f>Physical!K653*Labour!$D19*'Phys Input'!$B$8/1000</f>
        <v>177.25</v>
      </c>
      <c r="L96" s="31">
        <f>Physical!L653*Labour!$D19*'Phys Input'!$B$8/1000</f>
        <v>177.25</v>
      </c>
      <c r="M96" s="31">
        <f>Physical!M653*Labour!$D19*'Phys Input'!$B$8/1000</f>
        <v>177.25</v>
      </c>
      <c r="N96" s="31">
        <f>Physical!N653*Labour!$D19*'Phys Input'!$B$8/1000</f>
        <v>177.25</v>
      </c>
      <c r="O96" s="31">
        <f>Physical!O653*Labour!$D19*'Phys Input'!$B$8/1000</f>
        <v>177.25</v>
      </c>
      <c r="P96" s="31">
        <f>Physical!P653*Labour!$D19*'Phys Input'!$B$8/1000</f>
        <v>177.25</v>
      </c>
      <c r="Q96" s="31">
        <f>Physical!Q653*Labour!$D19*'Phys Input'!$B$8/1000</f>
        <v>177.25</v>
      </c>
      <c r="R96" s="31"/>
      <c r="S96" s="11">
        <f t="shared" si="39"/>
        <v>2304.25</v>
      </c>
    </row>
    <row r="97" spans="1:19">
      <c r="A97" s="5" t="s">
        <v>746</v>
      </c>
      <c r="B97" s="31"/>
      <c r="C97" s="31"/>
      <c r="D97" s="31">
        <f>Physical!D654*Labour!$D22*'Phys Input'!$B$8/1000</f>
        <v>0</v>
      </c>
      <c r="E97" s="31">
        <f>Physical!E654*Labour!$D22*'Phys Input'!$B$8/1000</f>
        <v>94.533333333333331</v>
      </c>
      <c r="F97" s="31">
        <f>Physical!F654*Labour!$D22*'Phys Input'!$B$8/1000</f>
        <v>94.533333333333331</v>
      </c>
      <c r="G97" s="31">
        <f>Physical!G654*Labour!$D22*'Phys Input'!$B$8/1000</f>
        <v>94.533333333333331</v>
      </c>
      <c r="H97" s="31">
        <f>Physical!H654*Labour!$D22*'Phys Input'!$B$8/1000</f>
        <v>94.533333333333331</v>
      </c>
      <c r="I97" s="31">
        <f>Physical!I654*Labour!$D22*'Phys Input'!$B$8/1000</f>
        <v>94.533333333333331</v>
      </c>
      <c r="J97" s="31">
        <f>Physical!J654*Labour!$D22*'Phys Input'!$B$8/1000</f>
        <v>94.533333333333331</v>
      </c>
      <c r="K97" s="31">
        <f>Physical!K654*Labour!$D22*'Phys Input'!$B$8/1000</f>
        <v>94.533333333333331</v>
      </c>
      <c r="L97" s="31">
        <f>Physical!L654*Labour!$D22*'Phys Input'!$B$8/1000</f>
        <v>94.533333333333331</v>
      </c>
      <c r="M97" s="31">
        <f>Physical!M654*Labour!$D22*'Phys Input'!$B$8/1000</f>
        <v>94.533333333333331</v>
      </c>
      <c r="N97" s="31">
        <f>Physical!N654*Labour!$D22*'Phys Input'!$B$8/1000</f>
        <v>94.533333333333331</v>
      </c>
      <c r="O97" s="31">
        <f>Physical!O654*Labour!$D22*'Phys Input'!$B$8/1000</f>
        <v>94.533333333333331</v>
      </c>
      <c r="P97" s="31">
        <f>Physical!P654*Labour!$D22*'Phys Input'!$B$8/1000</f>
        <v>94.533333333333331</v>
      </c>
      <c r="Q97" s="31">
        <f>Physical!Q654*Labour!$D22*'Phys Input'!$B$8/1000</f>
        <v>94.533333333333331</v>
      </c>
      <c r="R97" s="31"/>
      <c r="S97" s="11">
        <f t="shared" si="39"/>
        <v>1228.9333333333332</v>
      </c>
    </row>
    <row r="98" spans="1:19">
      <c r="A98" s="5" t="s">
        <v>386</v>
      </c>
      <c r="B98" s="31"/>
      <c r="C98" s="31"/>
      <c r="D98" s="31">
        <f>SUM(D94:D97)</f>
        <v>0</v>
      </c>
      <c r="E98" s="31">
        <f t="shared" ref="E98:Q98" si="41">SUM(E94:E97)</f>
        <v>466.75833333333333</v>
      </c>
      <c r="F98" s="31">
        <f t="shared" si="41"/>
        <v>466.75833333333333</v>
      </c>
      <c r="G98" s="31">
        <f t="shared" si="41"/>
        <v>466.75833333333333</v>
      </c>
      <c r="H98" s="31">
        <f t="shared" si="41"/>
        <v>466.75833333333333</v>
      </c>
      <c r="I98" s="31">
        <f t="shared" si="41"/>
        <v>466.75833333333333</v>
      </c>
      <c r="J98" s="31">
        <f t="shared" si="41"/>
        <v>466.75833333333333</v>
      </c>
      <c r="K98" s="31">
        <f t="shared" si="41"/>
        <v>466.75833333333333</v>
      </c>
      <c r="L98" s="31">
        <f t="shared" si="41"/>
        <v>466.75833333333333</v>
      </c>
      <c r="M98" s="31">
        <f t="shared" si="41"/>
        <v>466.75833333333333</v>
      </c>
      <c r="N98" s="31">
        <f t="shared" si="41"/>
        <v>466.75833333333333</v>
      </c>
      <c r="O98" s="31">
        <f t="shared" si="41"/>
        <v>466.75833333333333</v>
      </c>
      <c r="P98" s="31">
        <f t="shared" si="41"/>
        <v>466.75833333333333</v>
      </c>
      <c r="Q98" s="31">
        <f t="shared" si="41"/>
        <v>466.75833333333333</v>
      </c>
      <c r="R98" s="31"/>
      <c r="S98" s="11">
        <f t="shared" si="39"/>
        <v>6067.8583333333327</v>
      </c>
    </row>
    <row r="99" spans="1:19">
      <c r="A99" s="5" t="s">
        <v>112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11"/>
    </row>
    <row r="100" spans="1:19">
      <c r="A100" s="5" t="s">
        <v>742</v>
      </c>
      <c r="B100" s="31"/>
      <c r="C100" s="31"/>
      <c r="D100" s="31">
        <f>Physical!D655*Labour!$D20*'Phys Input'!$B$8/1000</f>
        <v>0</v>
      </c>
      <c r="E100" s="31">
        <f>Physical!E655*Labour!$D20*'Phys Input'!$B$8/1000</f>
        <v>94.533333333333331</v>
      </c>
      <c r="F100" s="31">
        <f>Physical!F655*Labour!$D20*'Phys Input'!$B$8/1000</f>
        <v>94.533333333333331</v>
      </c>
      <c r="G100" s="31">
        <f>Physical!G655*Labour!$D20*'Phys Input'!$B$8/1000</f>
        <v>94.533333333333331</v>
      </c>
      <c r="H100" s="31">
        <f>Physical!H655*Labour!$D20*'Phys Input'!$B$8/1000</f>
        <v>94.533333333333331</v>
      </c>
      <c r="I100" s="31">
        <f>Physical!I655*Labour!$D20*'Phys Input'!$B$8/1000</f>
        <v>94.533333333333331</v>
      </c>
      <c r="J100" s="31">
        <f>Physical!J655*Labour!$D20*'Phys Input'!$B$8/1000</f>
        <v>94.533333333333331</v>
      </c>
      <c r="K100" s="31">
        <f>Physical!K655*Labour!$D20*'Phys Input'!$B$8/1000</f>
        <v>94.533333333333331</v>
      </c>
      <c r="L100" s="31">
        <f>Physical!L655*Labour!$D20*'Phys Input'!$B$8/1000</f>
        <v>94.533333333333331</v>
      </c>
      <c r="M100" s="31">
        <f>Physical!M655*Labour!$D20*'Phys Input'!$B$8/1000</f>
        <v>94.533333333333331</v>
      </c>
      <c r="N100" s="31">
        <f>Physical!N655*Labour!$D20*'Phys Input'!$B$8/1000</f>
        <v>94.533333333333331</v>
      </c>
      <c r="O100" s="31">
        <f>Physical!O655*Labour!$D20*'Phys Input'!$B$8/1000</f>
        <v>94.533333333333331</v>
      </c>
      <c r="P100" s="31">
        <f>Physical!P655*Labour!$D20*'Phys Input'!$B$8/1000</f>
        <v>94.533333333333331</v>
      </c>
      <c r="Q100" s="31">
        <f>Physical!Q655*Labour!$D20*'Phys Input'!$B$8/1000</f>
        <v>94.533333333333331</v>
      </c>
      <c r="R100" s="31"/>
      <c r="S100" s="11">
        <f t="shared" ref="S100:S102" si="42">SUM(B100:R100)</f>
        <v>1228.9333333333332</v>
      </c>
    </row>
    <row r="101" spans="1:19">
      <c r="A101" s="5" t="s">
        <v>743</v>
      </c>
      <c r="B101" s="31"/>
      <c r="C101" s="31"/>
      <c r="D101" s="31">
        <f>Physical!D656*Labour!$D21*'Phys Input'!$B$8/1000</f>
        <v>0</v>
      </c>
      <c r="E101" s="31">
        <f>Physical!E656*Labour!$D21*'Phys Input'!$B$8/1000</f>
        <v>94.533333333333331</v>
      </c>
      <c r="F101" s="31">
        <f>Physical!F656*Labour!$D21*'Phys Input'!$B$8/1000</f>
        <v>94.533333333333331</v>
      </c>
      <c r="G101" s="31">
        <f>Physical!G656*Labour!$D21*'Phys Input'!$B$8/1000</f>
        <v>94.533333333333331</v>
      </c>
      <c r="H101" s="31">
        <f>Physical!H656*Labour!$D21*'Phys Input'!$B$8/1000</f>
        <v>94.533333333333331</v>
      </c>
      <c r="I101" s="31">
        <f>Physical!I656*Labour!$D21*'Phys Input'!$B$8/1000</f>
        <v>94.533333333333331</v>
      </c>
      <c r="J101" s="31">
        <f>Physical!J656*Labour!$D21*'Phys Input'!$B$8/1000</f>
        <v>94.533333333333331</v>
      </c>
      <c r="K101" s="31">
        <f>Physical!K656*Labour!$D21*'Phys Input'!$B$8/1000</f>
        <v>94.533333333333331</v>
      </c>
      <c r="L101" s="31">
        <f>Physical!L656*Labour!$D21*'Phys Input'!$B$8/1000</f>
        <v>94.533333333333331</v>
      </c>
      <c r="M101" s="31">
        <f>Physical!M656*Labour!$D21*'Phys Input'!$B$8/1000</f>
        <v>94.533333333333331</v>
      </c>
      <c r="N101" s="31">
        <f>Physical!N656*Labour!$D21*'Phys Input'!$B$8/1000</f>
        <v>94.533333333333331</v>
      </c>
      <c r="O101" s="31">
        <f>Physical!O656*Labour!$D21*'Phys Input'!$B$8/1000</f>
        <v>94.533333333333331</v>
      </c>
      <c r="P101" s="31">
        <f>Physical!P656*Labour!$D21*'Phys Input'!$B$8/1000</f>
        <v>94.533333333333331</v>
      </c>
      <c r="Q101" s="31">
        <f>Physical!Q656*Labour!$D21*'Phys Input'!$B$8/1000</f>
        <v>94.533333333333331</v>
      </c>
      <c r="R101" s="31"/>
      <c r="S101" s="11">
        <f t="shared" si="42"/>
        <v>1228.9333333333332</v>
      </c>
    </row>
    <row r="102" spans="1:19">
      <c r="A102" s="5" t="s">
        <v>386</v>
      </c>
      <c r="B102" s="31"/>
      <c r="C102" s="31"/>
      <c r="D102" s="31">
        <f>SUM(D100:D101)</f>
        <v>0</v>
      </c>
      <c r="E102" s="31">
        <f t="shared" ref="E102:Q102" si="43">SUM(E100:E101)</f>
        <v>189.06666666666666</v>
      </c>
      <c r="F102" s="31">
        <f t="shared" si="43"/>
        <v>189.06666666666666</v>
      </c>
      <c r="G102" s="31">
        <f t="shared" si="43"/>
        <v>189.06666666666666</v>
      </c>
      <c r="H102" s="31">
        <f t="shared" si="43"/>
        <v>189.06666666666666</v>
      </c>
      <c r="I102" s="31">
        <f t="shared" si="43"/>
        <v>189.06666666666666</v>
      </c>
      <c r="J102" s="31">
        <f t="shared" si="43"/>
        <v>189.06666666666666</v>
      </c>
      <c r="K102" s="31">
        <f t="shared" si="43"/>
        <v>189.06666666666666</v>
      </c>
      <c r="L102" s="31">
        <f t="shared" si="43"/>
        <v>189.06666666666666</v>
      </c>
      <c r="M102" s="31">
        <f t="shared" si="43"/>
        <v>189.06666666666666</v>
      </c>
      <c r="N102" s="31">
        <f t="shared" si="43"/>
        <v>189.06666666666666</v>
      </c>
      <c r="O102" s="31">
        <f t="shared" si="43"/>
        <v>189.06666666666666</v>
      </c>
      <c r="P102" s="31">
        <f t="shared" si="43"/>
        <v>189.06666666666666</v>
      </c>
      <c r="Q102" s="31">
        <f t="shared" si="43"/>
        <v>189.06666666666666</v>
      </c>
      <c r="R102" s="31"/>
      <c r="S102" s="11">
        <f t="shared" si="42"/>
        <v>2457.8666666666663</v>
      </c>
    </row>
    <row r="103" spans="1:19">
      <c r="A103" s="5" t="s">
        <v>116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11"/>
    </row>
    <row r="104" spans="1:19">
      <c r="A104" s="5" t="s">
        <v>778</v>
      </c>
      <c r="B104" s="31"/>
      <c r="C104" s="31"/>
      <c r="D104" s="31">
        <f>Physical!D542*Input!$F$179/1000</f>
        <v>0</v>
      </c>
      <c r="E104" s="31">
        <f>Physical!E542*Input!$F$179/1000</f>
        <v>114.56074046254331</v>
      </c>
      <c r="F104" s="31">
        <f>Physical!F542*Input!$F$179/1000</f>
        <v>160.96006555045125</v>
      </c>
      <c r="G104" s="31">
        <f>Physical!G542*Input!$F$179/1000</f>
        <v>143.19952607766589</v>
      </c>
      <c r="H104" s="31">
        <f>Physical!H542*Input!$F$179/1000</f>
        <v>140.1256900125079</v>
      </c>
      <c r="I104" s="31">
        <f>Physical!I542*Input!$F$179/1000</f>
        <v>140.96221709148415</v>
      </c>
      <c r="J104" s="31">
        <f>Physical!J542*Input!$F$179/1000</f>
        <v>141.57761481390946</v>
      </c>
      <c r="K104" s="31">
        <f>Physical!K542*Input!$F$179/1000</f>
        <v>143.95851338756339</v>
      </c>
      <c r="L104" s="31">
        <f>Physical!L542*Input!$F$179/1000</f>
        <v>140.52297806956349</v>
      </c>
      <c r="M104" s="31">
        <f>Physical!M542*Input!$F$179/1000</f>
        <v>142.07173468418631</v>
      </c>
      <c r="N104" s="31">
        <f>Physical!N542*Input!$F$179/1000</f>
        <v>145.73915117997441</v>
      </c>
      <c r="O104" s="31">
        <f>Physical!O542*Input!$F$179/1000</f>
        <v>149.64185057664511</v>
      </c>
      <c r="P104" s="31">
        <f>Physical!P542*Input!$F$179/1000</f>
        <v>151.39124243269538</v>
      </c>
      <c r="Q104" s="31">
        <f>Physical!Q542*Input!$F$179/1000</f>
        <v>228.0532754279501</v>
      </c>
      <c r="R104" s="31"/>
      <c r="S104" s="11">
        <f t="shared" si="39"/>
        <v>1942.7645997671402</v>
      </c>
    </row>
    <row r="105" spans="1:19">
      <c r="A105" s="5" t="s">
        <v>779</v>
      </c>
      <c r="B105" s="31"/>
      <c r="C105" s="31"/>
      <c r="D105" s="31">
        <f>Physical!D542*Input!$F$184/1000</f>
        <v>0</v>
      </c>
      <c r="E105" s="31">
        <f>Physical!E542*Input!$F$184/1000</f>
        <v>177.323660415951</v>
      </c>
      <c r="F105" s="31">
        <f>Physical!F542*Input!$F$184/1000</f>
        <v>249.14318717701994</v>
      </c>
      <c r="G105" s="31">
        <f>Physical!G542*Input!$F$184/1000</f>
        <v>221.65240929307285</v>
      </c>
      <c r="H105" s="31">
        <f>Physical!H542*Input!$F$184/1000</f>
        <v>216.8945501836462</v>
      </c>
      <c r="I105" s="31">
        <f>Physical!I542*Input!$F$184/1000</f>
        <v>218.18937459803297</v>
      </c>
      <c r="J105" s="31">
        <f>Physical!J542*Input!$F$184/1000</f>
        <v>219.14192235838703</v>
      </c>
      <c r="K105" s="31">
        <f>Physical!K542*Input!$F$184/1000</f>
        <v>222.82721322203565</v>
      </c>
      <c r="L105" s="31">
        <f>Physical!L542*Input!$F$184/1000</f>
        <v>217.50949534053152</v>
      </c>
      <c r="M105" s="31">
        <f>Physical!M542*Input!$F$184/1000</f>
        <v>219.90674932902274</v>
      </c>
      <c r="N105" s="31">
        <f>Physical!N542*Input!$F$184/1000</f>
        <v>225.58338614786044</v>
      </c>
      <c r="O105" s="31">
        <f>Physical!O542*Input!$F$184/1000</f>
        <v>231.62420728542145</v>
      </c>
      <c r="P105" s="31">
        <f>Physical!P542*Input!$F$184/1000</f>
        <v>234.33201596546496</v>
      </c>
      <c r="Q105" s="31">
        <f>Physical!Q542*Input!$F$184/1000</f>
        <v>352.99389132312001</v>
      </c>
      <c r="R105" s="31"/>
      <c r="S105" s="11">
        <f t="shared" si="39"/>
        <v>3007.1220626395666</v>
      </c>
    </row>
    <row r="106" spans="1:19">
      <c r="A106" s="5" t="s">
        <v>397</v>
      </c>
      <c r="B106" s="31"/>
      <c r="C106" s="31"/>
      <c r="D106" s="31">
        <f>Physical!D542*Input!$F$184/1006</f>
        <v>0</v>
      </c>
      <c r="E106" s="31">
        <f>Physical!E542*Input!$F$184/1006</f>
        <v>176.26606403176044</v>
      </c>
      <c r="F106" s="31">
        <f>Physical!F542*Input!$F$184/1006</f>
        <v>247.65724371473155</v>
      </c>
      <c r="G106" s="31">
        <f>Physical!G542*Input!$F$184/1006</f>
        <v>220.33042673267678</v>
      </c>
      <c r="H106" s="31">
        <f>Physical!H542*Input!$F$184/1006</f>
        <v>215.60094451654692</v>
      </c>
      <c r="I106" s="31">
        <f>Physical!I542*Input!$F$184/1006</f>
        <v>216.8880463201123</v>
      </c>
      <c r="J106" s="31">
        <f>Physical!J542*Input!$F$184/1006</f>
        <v>217.83491288110042</v>
      </c>
      <c r="K106" s="31">
        <f>Physical!K542*Input!$F$184/1006</f>
        <v>221.49822387876307</v>
      </c>
      <c r="L106" s="31">
        <f>Physical!L542*Input!$F$184/1006</f>
        <v>216.21222200848064</v>
      </c>
      <c r="M106" s="31">
        <f>Physical!M542*Input!$F$184/1006</f>
        <v>218.59517825946594</v>
      </c>
      <c r="N106" s="31">
        <f>Physical!N542*Input!$F$184/1006</f>
        <v>224.23795839747558</v>
      </c>
      <c r="O106" s="31">
        <f>Physical!O542*Input!$F$184/1006</f>
        <v>230.24275078073703</v>
      </c>
      <c r="P106" s="31">
        <f>Physical!P542*Input!$F$184/1006</f>
        <v>232.93440950841446</v>
      </c>
      <c r="Q106" s="31">
        <f>Physical!Q542*Input!$F$184/1006</f>
        <v>350.88855996333996</v>
      </c>
      <c r="R106" s="31"/>
      <c r="S106" s="11">
        <f t="shared" si="39"/>
        <v>2989.1869409936053</v>
      </c>
    </row>
    <row r="107" spans="1:19">
      <c r="A107" s="5" t="s">
        <v>386</v>
      </c>
      <c r="B107" s="31"/>
      <c r="C107" s="31"/>
      <c r="D107" s="31">
        <f>SUM(D104:D106)</f>
        <v>0</v>
      </c>
      <c r="E107" s="31">
        <f>SUM(E104:E106)</f>
        <v>468.15046491025475</v>
      </c>
      <c r="F107" s="31">
        <f t="shared" ref="F107:Q107" si="44">SUM(F104:F106)</f>
        <v>657.76049644220268</v>
      </c>
      <c r="G107" s="31">
        <f t="shared" si="44"/>
        <v>585.18236210341547</v>
      </c>
      <c r="H107" s="31">
        <f t="shared" si="44"/>
        <v>572.62118471270105</v>
      </c>
      <c r="I107" s="31">
        <f t="shared" si="44"/>
        <v>576.03963800962936</v>
      </c>
      <c r="J107" s="31">
        <f t="shared" si="44"/>
        <v>578.55445005339698</v>
      </c>
      <c r="K107" s="31">
        <f t="shared" si="44"/>
        <v>588.28395048836205</v>
      </c>
      <c r="L107" s="31">
        <f t="shared" si="44"/>
        <v>574.2446954185757</v>
      </c>
      <c r="M107" s="31">
        <f t="shared" si="44"/>
        <v>580.57366227267494</v>
      </c>
      <c r="N107" s="31">
        <f t="shared" si="44"/>
        <v>595.56049572531049</v>
      </c>
      <c r="O107" s="31">
        <f t="shared" si="44"/>
        <v>611.50880864280361</v>
      </c>
      <c r="P107" s="31">
        <f t="shared" si="44"/>
        <v>618.65766790657483</v>
      </c>
      <c r="Q107" s="31">
        <f t="shared" si="44"/>
        <v>931.93572671441007</v>
      </c>
      <c r="R107" s="31"/>
      <c r="S107" s="11">
        <f t="shared" si="39"/>
        <v>7939.0736034003112</v>
      </c>
    </row>
    <row r="108" spans="1:19">
      <c r="A108" s="5" t="s">
        <v>117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11"/>
    </row>
    <row r="109" spans="1:19">
      <c r="A109" s="5" t="s">
        <v>778</v>
      </c>
      <c r="B109" s="31"/>
      <c r="C109" s="31"/>
      <c r="D109" s="31">
        <f>Physical!D542*Input!$C$197/1006</f>
        <v>0</v>
      </c>
      <c r="E109" s="31">
        <f>Physical!E542*Input!$C$197/1006</f>
        <v>52.871685104127494</v>
      </c>
      <c r="F109" s="31">
        <f>Physical!F542*Input!$C$197/1006</f>
        <v>74.285744538336644</v>
      </c>
      <c r="G109" s="31">
        <f>Physical!G542*Input!$C$197/1006</f>
        <v>66.088960487420366</v>
      </c>
      <c r="H109" s="31">
        <f>Physical!H542*Input!$C$197/1006</f>
        <v>64.670334072799037</v>
      </c>
      <c r="I109" s="31">
        <f>Physical!I542*Input!$C$197/1006</f>
        <v>65.056405218307802</v>
      </c>
      <c r="J109" s="31">
        <f>Physical!J542*Input!$C$197/1006</f>
        <v>65.340421491792938</v>
      </c>
      <c r="K109" s="31">
        <f>Physical!K542*Input!$C$197/1006</f>
        <v>66.439245741207188</v>
      </c>
      <c r="L109" s="31">
        <f>Physical!L542*Input!$C$197/1006</f>
        <v>64.853689111911592</v>
      </c>
      <c r="M109" s="31">
        <f>Physical!M542*Input!$C$197/1006</f>
        <v>65.568466021528778</v>
      </c>
      <c r="N109" s="31">
        <f>Physical!N542*Input!$C$197/1006</f>
        <v>67.261039666986207</v>
      </c>
      <c r="O109" s="31">
        <f>Physical!O542*Input!$C$197/1006</f>
        <v>69.062200280331822</v>
      </c>
      <c r="P109" s="31">
        <f>Physical!P542*Input!$C$197/1006</f>
        <v>69.869573687341671</v>
      </c>
      <c r="Q109" s="31">
        <f>Physical!Q542*Input!$C$197/1006</f>
        <v>105.25037562352144</v>
      </c>
      <c r="R109" s="31"/>
      <c r="S109" s="11">
        <f t="shared" si="39"/>
        <v>896.61814104561302</v>
      </c>
    </row>
    <row r="110" spans="1:19">
      <c r="A110" s="5" t="s">
        <v>779</v>
      </c>
      <c r="B110" s="31"/>
      <c r="C110" s="31"/>
      <c r="D110" s="31">
        <f>Physical!D542*Input!$C$198/1006</f>
        <v>0</v>
      </c>
      <c r="E110" s="31">
        <f>Physical!E542*Input!$C$198/1006</f>
        <v>122.01158100952499</v>
      </c>
      <c r="F110" s="31">
        <f>Physical!F542*Input!$C$198/1006</f>
        <v>171.42864124231531</v>
      </c>
      <c r="G110" s="31">
        <f>Physical!G542*Input!$C$198/1006</f>
        <v>152.51298574020083</v>
      </c>
      <c r="H110" s="31">
        <f>Physical!H542*Input!$C$198/1006</f>
        <v>149.23923247569007</v>
      </c>
      <c r="I110" s="31">
        <f>Physical!I542*Input!$C$198/1006</f>
        <v>150.13016588840262</v>
      </c>
      <c r="J110" s="31">
        <f>Physical!J542*Input!$C$198/1006</f>
        <v>150.78558805798369</v>
      </c>
      <c r="K110" s="31">
        <f>Physical!K542*Input!$C$198/1006</f>
        <v>153.32133632586275</v>
      </c>
      <c r="L110" s="31">
        <f>Physical!L542*Input!$C$198/1006</f>
        <v>149.66235948902673</v>
      </c>
      <c r="M110" s="31">
        <f>Physical!M542*Input!$C$198/1006</f>
        <v>151.31184466506639</v>
      </c>
      <c r="N110" s="31">
        <f>Physical!N542*Input!$C$198/1006</f>
        <v>155.21778384689125</v>
      </c>
      <c r="O110" s="31">
        <f>Physical!O542*Input!$C$198/1006</f>
        <v>159.3743083392273</v>
      </c>
      <c r="P110" s="31">
        <f>Physical!P542*Input!$C$198/1006</f>
        <v>161.23747774001924</v>
      </c>
      <c r="Q110" s="31">
        <f>Physical!Q542*Input!$C$198/1006</f>
        <v>242.8854822081264</v>
      </c>
      <c r="R110" s="31"/>
      <c r="S110" s="11">
        <f t="shared" si="39"/>
        <v>2069.1187870283375</v>
      </c>
    </row>
    <row r="111" spans="1:19">
      <c r="A111" s="5" t="s">
        <v>397</v>
      </c>
      <c r="B111" s="31"/>
      <c r="C111" s="31"/>
      <c r="D111" s="31">
        <f>Physical!D542*Input!$C$199/1006</f>
        <v>0</v>
      </c>
      <c r="E111" s="31">
        <f>Physical!E542*Input!$C$199/1006</f>
        <v>24.402316201904995</v>
      </c>
      <c r="F111" s="31">
        <f>Physical!F542*Input!$C$199/1006</f>
        <v>34.285728248463066</v>
      </c>
      <c r="G111" s="31">
        <f>Physical!G542*Input!$C$199/1006</f>
        <v>30.502597148040163</v>
      </c>
      <c r="H111" s="31">
        <f>Physical!H542*Input!$C$199/1006</f>
        <v>29.847846495138011</v>
      </c>
      <c r="I111" s="31">
        <f>Physical!I542*Input!$C$199/1006</f>
        <v>30.026033177680521</v>
      </c>
      <c r="J111" s="31">
        <f>Physical!J542*Input!$C$199/1006</f>
        <v>30.157117611596735</v>
      </c>
      <c r="K111" s="31">
        <f>Physical!K542*Input!$C$199/1006</f>
        <v>30.664267265172548</v>
      </c>
      <c r="L111" s="31">
        <f>Physical!L542*Input!$C$199/1006</f>
        <v>29.932471897805346</v>
      </c>
      <c r="M111" s="31">
        <f>Physical!M542*Input!$C$199/1006</f>
        <v>30.262368933013281</v>
      </c>
      <c r="N111" s="31">
        <f>Physical!N542*Input!$C$199/1006</f>
        <v>31.043556769378252</v>
      </c>
      <c r="O111" s="31">
        <f>Physical!O542*Input!$C$199/1006</f>
        <v>31.874861667845455</v>
      </c>
      <c r="P111" s="31">
        <f>Physical!P542*Input!$C$199/1006</f>
        <v>32.247495548003847</v>
      </c>
      <c r="Q111" s="31">
        <f>Physical!Q542*Input!$C$199/1006</f>
        <v>48.57709644162528</v>
      </c>
      <c r="R111" s="31"/>
      <c r="S111" s="11">
        <f t="shared" si="39"/>
        <v>413.82375740566749</v>
      </c>
    </row>
    <row r="112" spans="1:19">
      <c r="A112" s="5" t="s">
        <v>386</v>
      </c>
      <c r="B112" s="31"/>
      <c r="C112" s="31"/>
      <c r="D112" s="31">
        <f>SUM(D109:D111)</f>
        <v>0</v>
      </c>
      <c r="E112" s="31">
        <f t="shared" ref="E112:Q112" si="45">SUM(E109:E111)</f>
        <v>199.28558231555749</v>
      </c>
      <c r="F112" s="31">
        <f t="shared" si="45"/>
        <v>280.00011402911503</v>
      </c>
      <c r="G112" s="31">
        <f t="shared" si="45"/>
        <v>249.10454337566136</v>
      </c>
      <c r="H112" s="31">
        <f t="shared" si="45"/>
        <v>243.75741304362714</v>
      </c>
      <c r="I112" s="31">
        <f t="shared" si="45"/>
        <v>245.21260428439092</v>
      </c>
      <c r="J112" s="31">
        <f t="shared" si="45"/>
        <v>246.28312716137336</v>
      </c>
      <c r="K112" s="31">
        <f t="shared" si="45"/>
        <v>250.4248493322425</v>
      </c>
      <c r="L112" s="31">
        <f t="shared" si="45"/>
        <v>244.44852049874368</v>
      </c>
      <c r="M112" s="31">
        <f t="shared" si="45"/>
        <v>247.14267961960846</v>
      </c>
      <c r="N112" s="31">
        <f t="shared" si="45"/>
        <v>253.5223802832557</v>
      </c>
      <c r="O112" s="31">
        <f t="shared" si="45"/>
        <v>260.31137028740454</v>
      </c>
      <c r="P112" s="31">
        <f t="shared" si="45"/>
        <v>263.35454697536477</v>
      </c>
      <c r="Q112" s="31">
        <f t="shared" si="45"/>
        <v>396.71295427327311</v>
      </c>
      <c r="R112" s="31"/>
      <c r="S112" s="11">
        <f t="shared" ref="S112" si="46">SUM(B112:R112)</f>
        <v>3379.5606854796179</v>
      </c>
    </row>
    <row r="113" spans="1:19">
      <c r="A113" s="5" t="s">
        <v>118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11"/>
    </row>
    <row r="114" spans="1:19">
      <c r="A114" s="5" t="s">
        <v>778</v>
      </c>
      <c r="B114" s="31"/>
      <c r="C114" s="31"/>
      <c r="D114" s="31">
        <f>Physical!D542*Input!$C$197/1006</f>
        <v>0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11"/>
    </row>
    <row r="115" spans="1:19">
      <c r="A115" s="5" t="s">
        <v>366</v>
      </c>
      <c r="B115" s="31"/>
      <c r="C115" s="31"/>
      <c r="D115" s="31">
        <f>Physical!D625*Input!$B224</f>
        <v>0</v>
      </c>
      <c r="E115" s="31">
        <f>Physical!E625*Input!$B224</f>
        <v>119.30875628084273</v>
      </c>
      <c r="F115" s="31">
        <f>Physical!F625*Input!$B224</f>
        <v>167.63111999949203</v>
      </c>
      <c r="G115" s="31">
        <f>Physical!G625*Input!$B224</f>
        <v>149.1344878476803</v>
      </c>
      <c r="H115" s="31">
        <f>Physical!H625*Input!$B224</f>
        <v>145.93325541443582</v>
      </c>
      <c r="I115" s="31">
        <f>Physical!I625*Input!$B224</f>
        <v>146.80445269358165</v>
      </c>
      <c r="J115" s="31">
        <f>Physical!J625*Input!$B224</f>
        <v>147.44535582133886</v>
      </c>
      <c r="K115" s="31">
        <f>Physical!K625*Input!$B224</f>
        <v>149.92493169093061</v>
      </c>
      <c r="L115" s="31">
        <f>Physical!L625*Input!$B224</f>
        <v>146.34700923429727</v>
      </c>
      <c r="M115" s="31">
        <f>Physical!M625*Input!$B224</f>
        <v>147.95995468774251</v>
      </c>
      <c r="N115" s="31">
        <f>Physical!N625*Input!$B224</f>
        <v>151.77936873054355</v>
      </c>
      <c r="O115" s="31">
        <f>Physical!O625*Input!$B224</f>
        <v>155.84381706838417</v>
      </c>
      <c r="P115" s="31">
        <f>Physical!P625*Input!$B224</f>
        <v>157.66571317127671</v>
      </c>
      <c r="Q115" s="31">
        <f>Physical!Q625*Input!$B224</f>
        <v>237.50503485945396</v>
      </c>
      <c r="R115" s="31"/>
      <c r="S115" s="11">
        <f t="shared" si="39"/>
        <v>2023.2832575000004</v>
      </c>
    </row>
    <row r="116" spans="1:19">
      <c r="A116" s="5" t="s">
        <v>459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11">
        <f t="shared" si="39"/>
        <v>0</v>
      </c>
    </row>
    <row r="117" spans="1:19">
      <c r="A117" s="5" t="s">
        <v>80</v>
      </c>
      <c r="B117" s="31"/>
      <c r="C117" s="31"/>
      <c r="D117" s="31">
        <f>D98+D102+D107+D112+D114 +D115+D116</f>
        <v>0</v>
      </c>
      <c r="E117" s="31">
        <f t="shared" ref="E117:Q117" si="47">E98+E102+E107+E112+E114 +E115+E116</f>
        <v>1442.569803506655</v>
      </c>
      <c r="F117" s="31">
        <f t="shared" si="47"/>
        <v>1761.21673047081</v>
      </c>
      <c r="G117" s="31">
        <f t="shared" si="47"/>
        <v>1639.2463933267572</v>
      </c>
      <c r="H117" s="31">
        <f t="shared" si="47"/>
        <v>1618.136853170764</v>
      </c>
      <c r="I117" s="31">
        <f t="shared" si="47"/>
        <v>1623.8816949876018</v>
      </c>
      <c r="J117" s="31">
        <f t="shared" si="47"/>
        <v>1628.1079330361092</v>
      </c>
      <c r="K117" s="31">
        <f t="shared" si="47"/>
        <v>1644.4587315115352</v>
      </c>
      <c r="L117" s="31">
        <f t="shared" si="47"/>
        <v>1620.8652251516166</v>
      </c>
      <c r="M117" s="31">
        <f t="shared" si="47"/>
        <v>1631.5012965800261</v>
      </c>
      <c r="N117" s="31">
        <f t="shared" si="47"/>
        <v>1656.6872447391099</v>
      </c>
      <c r="O117" s="31">
        <f t="shared" si="47"/>
        <v>1683.4889959985924</v>
      </c>
      <c r="P117" s="31">
        <f t="shared" si="47"/>
        <v>1695.5029280532167</v>
      </c>
      <c r="Q117" s="31">
        <f t="shared" si="47"/>
        <v>2221.9787158471372</v>
      </c>
      <c r="R117" s="31"/>
      <c r="S117" s="11">
        <f t="shared" si="39"/>
        <v>21867.642546379931</v>
      </c>
    </row>
    <row r="118" spans="1:19">
      <c r="A118" s="5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11"/>
    </row>
    <row r="119" spans="1:19">
      <c r="A119" s="39" t="s">
        <v>643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11"/>
    </row>
    <row r="120" spans="1:19">
      <c r="A120" s="39" t="s">
        <v>637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11"/>
    </row>
    <row r="121" spans="1:19">
      <c r="A121" s="5" t="s">
        <v>118</v>
      </c>
      <c r="B121" s="31"/>
      <c r="C121" s="31"/>
      <c r="D121" s="31">
        <f>IF(Physical!D531=0,0,Input!$B$214*'Phys Input'!$B$8)/1000</f>
        <v>50</v>
      </c>
      <c r="E121" s="31">
        <f>IF(Physical!E531=0,0,Input!$B$214*'Phys Input'!$B$8)/1000</f>
        <v>50</v>
      </c>
      <c r="F121" s="31">
        <f>IF(Physical!F531=0,0,Input!$B$214*'Phys Input'!$B$8)/1000</f>
        <v>50</v>
      </c>
      <c r="G121" s="31">
        <f>IF(Physical!G531=0,0,Input!$B$214*'Phys Input'!$B$8)/1000</f>
        <v>50</v>
      </c>
      <c r="H121" s="31">
        <f>IF(Physical!H531=0,0,Input!$B$214*'Phys Input'!$B$8)/1000</f>
        <v>50</v>
      </c>
      <c r="I121" s="31">
        <f>IF(Physical!I531=0,0,Input!$B$214*'Phys Input'!$B$8)/1000</f>
        <v>50</v>
      </c>
      <c r="J121" s="31">
        <f>IF(Physical!J531=0,0,Input!$B$214*'Phys Input'!$B$8)/1000</f>
        <v>50</v>
      </c>
      <c r="K121" s="31">
        <f>IF(Physical!K531=0,0,Input!$B$214*'Phys Input'!$B$8)/1000</f>
        <v>50</v>
      </c>
      <c r="L121" s="31">
        <f>IF(Physical!L531=0,0,Input!$B$214*'Phys Input'!$B$8)/1000</f>
        <v>50</v>
      </c>
      <c r="M121" s="31">
        <f>IF(Physical!M531=0,0,Input!$B$214*'Phys Input'!$B$8)/1000</f>
        <v>50</v>
      </c>
      <c r="N121" s="31">
        <f>IF(Physical!N531=0,0,Input!$B$214*'Phys Input'!$B$8)/1000</f>
        <v>50</v>
      </c>
      <c r="O121" s="31">
        <f>IF(Physical!O531=0,0,Input!$B$214*'Phys Input'!$B$8)/1000</f>
        <v>50</v>
      </c>
      <c r="P121" s="31">
        <f>IF(Physical!P531=0,0,Input!$B$214*'Phys Input'!$B$8)/1000</f>
        <v>50</v>
      </c>
      <c r="Q121" s="31">
        <f>IF(Physical!Q531=0,0,Input!$B$214*'Phys Input'!$B$8)/1000</f>
        <v>50</v>
      </c>
      <c r="R121" s="31"/>
      <c r="S121" s="11">
        <f t="shared" si="39"/>
        <v>700</v>
      </c>
    </row>
    <row r="122" spans="1:19">
      <c r="A122" s="39" t="s">
        <v>599</v>
      </c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11"/>
    </row>
    <row r="123" spans="1:19">
      <c r="A123" s="5" t="s">
        <v>116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11"/>
    </row>
    <row r="124" spans="1:19">
      <c r="A124" s="5" t="s">
        <v>635</v>
      </c>
      <c r="B124" s="31"/>
      <c r="C124" s="31"/>
      <c r="D124" s="31">
        <f>Physical!D719*Input!$B$188/1000</f>
        <v>0</v>
      </c>
      <c r="E124" s="31">
        <f>Physical!E719*Input!$B$188/1000</f>
        <v>8.5879696740629843</v>
      </c>
      <c r="F124" s="31">
        <f>Physical!F719*Input!$B$188/1000</f>
        <v>11.841441708834605</v>
      </c>
      <c r="G124" s="31">
        <f>Physical!G719*Input!$B$188/1000</f>
        <v>10.559200092377301</v>
      </c>
      <c r="H124" s="31">
        <f>Physical!H719*Input!$B$188/1000</f>
        <v>10.337488696528164</v>
      </c>
      <c r="I124" s="31">
        <f>Physical!I719*Input!$B$188/1000</f>
        <v>10.397822332826763</v>
      </c>
      <c r="J124" s="31">
        <f>Physical!J719*Input!$B$188/1000</f>
        <v>10.442224853780685</v>
      </c>
      <c r="K124" s="31">
        <f>Physical!K719*Input!$B$188/1000</f>
        <v>10.614107394824698</v>
      </c>
      <c r="L124" s="31">
        <f>Physical!L719*Input!$B$188/1000</f>
        <v>10.366112942577244</v>
      </c>
      <c r="M124" s="31">
        <f>Physical!M719*Input!$B$188/1000</f>
        <v>10.477864276407182</v>
      </c>
      <c r="N124" s="31">
        <f>Physical!N719*Input!$B$188/1000</f>
        <v>10.742539947796134</v>
      </c>
      <c r="O124" s="31">
        <f>Physical!O719*Input!$B$188/1000</f>
        <v>11.024236488934951</v>
      </c>
      <c r="P124" s="31">
        <f>Physical!P719*Input!$B$188/1000</f>
        <v>11.150569357518048</v>
      </c>
      <c r="Q124" s="31">
        <f>Physical!Q719*Input!$B$188/1000</f>
        <v>16.681648039982861</v>
      </c>
      <c r="R124" s="31"/>
      <c r="S124" s="11">
        <f t="shared" si="39"/>
        <v>143.22322580645164</v>
      </c>
    </row>
    <row r="125" spans="1:19">
      <c r="A125" s="5" t="s">
        <v>118</v>
      </c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11"/>
    </row>
    <row r="126" spans="1:19">
      <c r="A126" s="5" t="s">
        <v>644</v>
      </c>
      <c r="B126" s="31"/>
      <c r="C126" s="31"/>
      <c r="D126" s="31">
        <f>IF(Physical!D716&gt;0,'Phys Input'!$B$65*Input!$B$216/1000,0)</f>
        <v>0</v>
      </c>
      <c r="E126" s="31">
        <f>IF(Physical!E716&gt;0,'Phys Input'!$B$65*Input!$B$216/1000,0)</f>
        <v>7.6</v>
      </c>
      <c r="F126" s="31">
        <f>IF(Physical!F716&gt;0,'Phys Input'!$B$65*Input!$B$216/1000,0)</f>
        <v>7.6</v>
      </c>
      <c r="G126" s="31">
        <f>IF(Physical!G716&gt;0,'Phys Input'!$B$65*Input!$B$216/1000,0)</f>
        <v>7.6</v>
      </c>
      <c r="H126" s="31">
        <f>IF(Physical!H716&gt;0,'Phys Input'!$B$65*Input!$B$216/1000,0)</f>
        <v>7.6</v>
      </c>
      <c r="I126" s="31">
        <f>IF(Physical!I716&gt;0,'Phys Input'!$B$65*Input!$B$216/1000,0)</f>
        <v>7.6</v>
      </c>
      <c r="J126" s="31">
        <f>IF(Physical!J716&gt;0,'Phys Input'!$B$65*Input!$B$216/1000,0)</f>
        <v>7.6</v>
      </c>
      <c r="K126" s="31">
        <f>IF(Physical!K716&gt;0,'Phys Input'!$B$65*Input!$B$216/1000,0)</f>
        <v>7.6</v>
      </c>
      <c r="L126" s="31">
        <f>IF(Physical!L716&gt;0,'Phys Input'!$B$65*Input!$B$216/1000,0)</f>
        <v>7.6</v>
      </c>
      <c r="M126" s="31">
        <f>IF(Physical!M716&gt;0,'Phys Input'!$B$65*Input!$B$216/1000,0)</f>
        <v>7.6</v>
      </c>
      <c r="N126" s="31">
        <f>IF(Physical!N716&gt;0,'Phys Input'!$B$65*Input!$B$216/1000,0)</f>
        <v>7.6</v>
      </c>
      <c r="O126" s="31">
        <f>IF(Physical!O716&gt;0,'Phys Input'!$B$65*Input!$B$216/1000,0)</f>
        <v>7.6</v>
      </c>
      <c r="P126" s="31">
        <f>IF(Physical!P716&gt;0,'Phys Input'!$B$65*Input!$B$216/1000,0)</f>
        <v>7.6</v>
      </c>
      <c r="Q126" s="31">
        <f>IF(Physical!Q716&gt;0,'Phys Input'!$B$65*Input!$B$216/1000,0)</f>
        <v>7.6</v>
      </c>
      <c r="R126" s="31"/>
      <c r="S126" s="11">
        <f t="shared" si="39"/>
        <v>98.799999999999983</v>
      </c>
    </row>
    <row r="127" spans="1:19">
      <c r="A127" s="5" t="s">
        <v>645</v>
      </c>
      <c r="B127" s="31"/>
      <c r="C127" s="31"/>
      <c r="D127" s="31">
        <f>Physical!D717*Input!$B$217/1000</f>
        <v>0</v>
      </c>
      <c r="E127" s="31">
        <f>Physical!E717*Input!$B$217/1000</f>
        <v>50.320134808962791</v>
      </c>
      <c r="F127" s="31">
        <f>Physical!F717*Input!$B$217/1000</f>
        <v>69.383447512702773</v>
      </c>
      <c r="G127" s="31">
        <f>Physical!G717*Input!$B$217/1000</f>
        <v>61.870313041273242</v>
      </c>
      <c r="H127" s="31">
        <f>Physical!H717*Input!$B$217/1000</f>
        <v>60.571222831219714</v>
      </c>
      <c r="I127" s="31">
        <f>Physical!I717*Input!$B$217/1000</f>
        <v>60.924740231406815</v>
      </c>
      <c r="J127" s="31">
        <f>Physical!J717*Input!$B$217/1000</f>
        <v>61.184911252621205</v>
      </c>
      <c r="K127" s="31">
        <f>Physical!K717*Input!$B$217/1000</f>
        <v>62.192035516550959</v>
      </c>
      <c r="L127" s="31">
        <f>Physical!L717*Input!$B$217/1000</f>
        <v>60.738943022913531</v>
      </c>
      <c r="M127" s="31">
        <f>Physical!M717*Input!$B$217/1000</f>
        <v>61.393735994573333</v>
      </c>
      <c r="N127" s="31">
        <f>Physical!N717*Input!$B$217/1000</f>
        <v>62.944570006617973</v>
      </c>
      <c r="O127" s="31">
        <f>Physical!O717*Input!$B$217/1000</f>
        <v>64.595135677353227</v>
      </c>
      <c r="P127" s="31">
        <f>Physical!P717*Input!$B$217/1000</f>
        <v>65.335367329207315</v>
      </c>
      <c r="Q127" s="31">
        <f>Physical!Q717*Input!$B$217/1000</f>
        <v>97.744031484274586</v>
      </c>
      <c r="R127" s="31"/>
      <c r="S127" s="11">
        <f t="shared" si="39"/>
        <v>839.19858870967744</v>
      </c>
    </row>
    <row r="128" spans="1:19">
      <c r="A128" s="5" t="s">
        <v>650</v>
      </c>
      <c r="B128" s="31"/>
      <c r="C128" s="31"/>
      <c r="D128" s="31">
        <f>Physical!D719*Input!$B$218/1000</f>
        <v>0</v>
      </c>
      <c r="E128" s="31">
        <f>Physical!E719*Input!$B$218/1000</f>
        <v>1.073496209257873</v>
      </c>
      <c r="F128" s="31">
        <f>Physical!F719*Input!$B$218/1000</f>
        <v>1.4801802136043256</v>
      </c>
      <c r="G128" s="31">
        <f>Physical!G719*Input!$B$218/1000</f>
        <v>1.3199000115471626</v>
      </c>
      <c r="H128" s="31">
        <f>Physical!H719*Input!$B$218/1000</f>
        <v>1.2921860870660205</v>
      </c>
      <c r="I128" s="31">
        <f>Physical!I719*Input!$B$218/1000</f>
        <v>1.2997277916033454</v>
      </c>
      <c r="J128" s="31">
        <f>Physical!J719*Input!$B$218/1000</f>
        <v>1.3052781067225856</v>
      </c>
      <c r="K128" s="31">
        <f>Physical!K719*Input!$B$218/1000</f>
        <v>1.3267634243530873</v>
      </c>
      <c r="L128" s="31">
        <f>Physical!L719*Input!$B$218/1000</f>
        <v>1.2957641178221555</v>
      </c>
      <c r="M128" s="31">
        <f>Physical!M719*Input!$B$218/1000</f>
        <v>1.3097330345508977</v>
      </c>
      <c r="N128" s="31">
        <f>Physical!N719*Input!$B$218/1000</f>
        <v>1.3428174934745167</v>
      </c>
      <c r="O128" s="31">
        <f>Physical!O719*Input!$B$218/1000</f>
        <v>1.3780295611168689</v>
      </c>
      <c r="P128" s="31">
        <f>Physical!P719*Input!$B$218/1000</f>
        <v>1.393821169689756</v>
      </c>
      <c r="Q128" s="31">
        <f>Physical!Q719*Input!$B$218/1000</f>
        <v>2.0852060049978576</v>
      </c>
      <c r="R128" s="31"/>
      <c r="S128" s="11">
        <f t="shared" si="39"/>
        <v>17.902903225806455</v>
      </c>
    </row>
    <row r="129" spans="1:19">
      <c r="A129" s="5" t="s">
        <v>646</v>
      </c>
      <c r="B129" s="31"/>
      <c r="C129" s="31"/>
      <c r="D129" s="31">
        <f>Physical!D720*Input!$B$219/1000</f>
        <v>45.6</v>
      </c>
      <c r="E129" s="31">
        <f>Physical!E720*Input!$B$219/1000</f>
        <v>72.2</v>
      </c>
      <c r="F129" s="31">
        <f>Physical!F720*Input!$B$219/1000</f>
        <v>72.2</v>
      </c>
      <c r="G129" s="31">
        <f>Physical!G720*Input!$B$219/1000</f>
        <v>72.2</v>
      </c>
      <c r="H129" s="31">
        <f>Physical!H720*Input!$B$219/1000</f>
        <v>72.2</v>
      </c>
      <c r="I129" s="31">
        <f>Physical!I720*Input!$B$219/1000</f>
        <v>72.2</v>
      </c>
      <c r="J129" s="31">
        <f>Physical!J720*Input!$B$219/1000</f>
        <v>72.2</v>
      </c>
      <c r="K129" s="31">
        <f>Physical!K720*Input!$B$219/1000</f>
        <v>72.2</v>
      </c>
      <c r="L129" s="31">
        <f>Physical!L720*Input!$B$219/1000</f>
        <v>72.2</v>
      </c>
      <c r="M129" s="31">
        <f>Physical!M720*Input!$B$219/1000</f>
        <v>72.2</v>
      </c>
      <c r="N129" s="31">
        <f>Physical!N720*Input!$B$219/1000</f>
        <v>72.2</v>
      </c>
      <c r="O129" s="31">
        <f>Physical!O720*Input!$B$219/1000</f>
        <v>72.2</v>
      </c>
      <c r="P129" s="31">
        <f>Physical!P720*Input!$B$219/1000</f>
        <v>72.2</v>
      </c>
      <c r="Q129" s="31">
        <f>Physical!Q720*Input!$B$219/1000</f>
        <v>72.2</v>
      </c>
      <c r="R129" s="31"/>
      <c r="S129" s="11">
        <f t="shared" si="39"/>
        <v>984.20000000000027</v>
      </c>
    </row>
    <row r="130" spans="1:19">
      <c r="A130" s="5" t="s">
        <v>647</v>
      </c>
      <c r="B130" s="31"/>
      <c r="C130" s="31"/>
      <c r="D130" s="31">
        <f>Physical!D721*Input!$B$220/1000</f>
        <v>132</v>
      </c>
      <c r="E130" s="31">
        <f>Physical!E721*Input!$B$220/1000</f>
        <v>132</v>
      </c>
      <c r="F130" s="31">
        <f>Physical!F721*Input!$B$220/1000</f>
        <v>132</v>
      </c>
      <c r="G130" s="31">
        <f>Physical!G721*Input!$B$220/1000</f>
        <v>132</v>
      </c>
      <c r="H130" s="31">
        <f>Physical!H721*Input!$B$220/1000</f>
        <v>132</v>
      </c>
      <c r="I130" s="31">
        <f>Physical!I721*Input!$B$220/1000</f>
        <v>132</v>
      </c>
      <c r="J130" s="31">
        <f>Physical!J721*Input!$B$220/1000</f>
        <v>132</v>
      </c>
      <c r="K130" s="31">
        <f>Physical!K721*Input!$B$220/1000</f>
        <v>132</v>
      </c>
      <c r="L130" s="31">
        <f>Physical!L721*Input!$B$220/1000</f>
        <v>132</v>
      </c>
      <c r="M130" s="31">
        <f>Physical!M721*Input!$B$220/1000</f>
        <v>132</v>
      </c>
      <c r="N130" s="31">
        <f>Physical!N721*Input!$B$220/1000</f>
        <v>132</v>
      </c>
      <c r="O130" s="31">
        <f>Physical!O721*Input!$B$220/1000</f>
        <v>132</v>
      </c>
      <c r="P130" s="31">
        <f>Physical!P721*Input!$B$220/1000</f>
        <v>132</v>
      </c>
      <c r="Q130" s="31">
        <f>Physical!Q721*Input!$B$220/1000</f>
        <v>132</v>
      </c>
      <c r="R130" s="31"/>
      <c r="S130" s="11">
        <f t="shared" si="39"/>
        <v>1848</v>
      </c>
    </row>
    <row r="131" spans="1:19">
      <c r="A131" s="5" t="s">
        <v>386</v>
      </c>
      <c r="B131" s="31"/>
      <c r="C131" s="31"/>
      <c r="D131" s="31">
        <f>SUM(D126:D130)</f>
        <v>177.6</v>
      </c>
      <c r="E131" s="31">
        <f t="shared" ref="E131:Q131" si="48">SUM(E126:E130)</f>
        <v>263.19363101822069</v>
      </c>
      <c r="F131" s="31">
        <f t="shared" si="48"/>
        <v>282.66362772630708</v>
      </c>
      <c r="G131" s="31">
        <f t="shared" si="48"/>
        <v>274.99021305282042</v>
      </c>
      <c r="H131" s="31">
        <f t="shared" si="48"/>
        <v>273.66340891828571</v>
      </c>
      <c r="I131" s="31">
        <f t="shared" si="48"/>
        <v>274.02446802301017</v>
      </c>
      <c r="J131" s="31">
        <f t="shared" si="48"/>
        <v>274.2901893593438</v>
      </c>
      <c r="K131" s="31">
        <f t="shared" si="48"/>
        <v>275.31879894090406</v>
      </c>
      <c r="L131" s="31">
        <f t="shared" si="48"/>
        <v>273.8347071407357</v>
      </c>
      <c r="M131" s="31">
        <f t="shared" si="48"/>
        <v>274.50346902912423</v>
      </c>
      <c r="N131" s="31">
        <f t="shared" si="48"/>
        <v>276.08738750009252</v>
      </c>
      <c r="O131" s="31">
        <f t="shared" si="48"/>
        <v>277.77316523847009</v>
      </c>
      <c r="P131" s="31">
        <f t="shared" si="48"/>
        <v>278.52918849889704</v>
      </c>
      <c r="Q131" s="31">
        <f t="shared" si="48"/>
        <v>311.62923748927244</v>
      </c>
      <c r="R131" s="31"/>
      <c r="S131" s="11">
        <f t="shared" si="39"/>
        <v>3788.1014919354834</v>
      </c>
    </row>
    <row r="132" spans="1:19">
      <c r="A132" s="5" t="s">
        <v>80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11"/>
    </row>
    <row r="133" spans="1:19">
      <c r="A133" s="5" t="s">
        <v>596</v>
      </c>
      <c r="B133" s="31"/>
      <c r="C133" s="31"/>
      <c r="D133" s="31">
        <f>D124+D131</f>
        <v>177.6</v>
      </c>
      <c r="E133" s="31">
        <f t="shared" ref="E133:Q133" si="49">E124+E131</f>
        <v>271.78160069228369</v>
      </c>
      <c r="F133" s="31">
        <f t="shared" si="49"/>
        <v>294.50506943514171</v>
      </c>
      <c r="G133" s="31">
        <f t="shared" si="49"/>
        <v>285.54941314519772</v>
      </c>
      <c r="H133" s="31">
        <f t="shared" si="49"/>
        <v>284.00089761481388</v>
      </c>
      <c r="I133" s="31">
        <f t="shared" si="49"/>
        <v>284.42229035583694</v>
      </c>
      <c r="J133" s="31">
        <f t="shared" si="49"/>
        <v>284.73241421312446</v>
      </c>
      <c r="K133" s="31">
        <f t="shared" si="49"/>
        <v>285.93290633572877</v>
      </c>
      <c r="L133" s="31">
        <f t="shared" si="49"/>
        <v>284.20082008331292</v>
      </c>
      <c r="M133" s="31">
        <f t="shared" si="49"/>
        <v>284.98133330553139</v>
      </c>
      <c r="N133" s="31">
        <f t="shared" si="49"/>
        <v>286.82992744788868</v>
      </c>
      <c r="O133" s="31">
        <f t="shared" si="49"/>
        <v>288.79740172740503</v>
      </c>
      <c r="P133" s="31">
        <f t="shared" si="49"/>
        <v>289.67975785641511</v>
      </c>
      <c r="Q133" s="31">
        <f t="shared" si="49"/>
        <v>328.3108855292553</v>
      </c>
      <c r="R133" s="31"/>
      <c r="S133" s="11">
        <f t="shared" si="39"/>
        <v>3931.3247177419353</v>
      </c>
    </row>
    <row r="134" spans="1:19">
      <c r="A134" s="39" t="s">
        <v>638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11"/>
    </row>
    <row r="135" spans="1:19">
      <c r="A135" s="5" t="s">
        <v>118</v>
      </c>
      <c r="B135" s="31"/>
      <c r="C135" s="31"/>
      <c r="D135" s="31">
        <f>IF(Physical!D531=0,0,Input!$B$221*'Phys Input'!$B$8)/1000</f>
        <v>72</v>
      </c>
      <c r="E135" s="31">
        <f>IF(Physical!E531=0,0,Input!$B$221*'Phys Input'!$B$8)/1000</f>
        <v>72</v>
      </c>
      <c r="F135" s="31">
        <f>IF(Physical!F531=0,0,Input!$B$221*'Phys Input'!$B$8)/1000</f>
        <v>72</v>
      </c>
      <c r="G135" s="31">
        <f>IF(Physical!G531=0,0,Input!$B$221*'Phys Input'!$B$8)/1000</f>
        <v>72</v>
      </c>
      <c r="H135" s="31">
        <f>IF(Physical!H531=0,0,Input!$B$221*'Phys Input'!$B$8)/1000</f>
        <v>72</v>
      </c>
      <c r="I135" s="31">
        <f>IF(Physical!I531=0,0,Input!$B$221*'Phys Input'!$B$8)/1000</f>
        <v>72</v>
      </c>
      <c r="J135" s="31">
        <f>IF(Physical!J531=0,0,Input!$B$221*'Phys Input'!$B$8)/1000</f>
        <v>72</v>
      </c>
      <c r="K135" s="31">
        <f>IF(Physical!K531=0,0,Input!$B$221*'Phys Input'!$B$8)/1000</f>
        <v>72</v>
      </c>
      <c r="L135" s="31">
        <f>IF(Physical!L531=0,0,Input!$B$221*'Phys Input'!$B$8)/1000</f>
        <v>72</v>
      </c>
      <c r="M135" s="31">
        <f>IF(Physical!M531=0,0,Input!$B$221*'Phys Input'!$B$8)/1000</f>
        <v>72</v>
      </c>
      <c r="N135" s="31">
        <f>IF(Physical!N531=0,0,Input!$B$221*'Phys Input'!$B$8)/1000</f>
        <v>72</v>
      </c>
      <c r="O135" s="31">
        <f>IF(Physical!O531=0,0,Input!$B$221*'Phys Input'!$B$8)/1000</f>
        <v>72</v>
      </c>
      <c r="P135" s="31">
        <f>IF(Physical!P531=0,0,Input!$B$221*'Phys Input'!$B$8)/1000</f>
        <v>72</v>
      </c>
      <c r="Q135" s="31">
        <f>IF(Physical!Q531=0,0,Input!$B$221*'Phys Input'!$B$8)/1000</f>
        <v>72</v>
      </c>
      <c r="R135" s="31"/>
      <c r="S135" s="11">
        <f t="shared" si="39"/>
        <v>1008</v>
      </c>
    </row>
    <row r="136" spans="1:19">
      <c r="A136" s="39" t="s">
        <v>5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11"/>
    </row>
    <row r="137" spans="1:19">
      <c r="A137" s="5" t="s">
        <v>508</v>
      </c>
      <c r="B137" s="31"/>
      <c r="C137" s="31"/>
      <c r="D137" s="31">
        <f>D121+D133+D135</f>
        <v>299.60000000000002</v>
      </c>
      <c r="E137" s="31">
        <f t="shared" ref="E137:Q137" si="50">E121+E133+E135</f>
        <v>393.78160069228369</v>
      </c>
      <c r="F137" s="31">
        <f t="shared" si="50"/>
        <v>416.50506943514171</v>
      </c>
      <c r="G137" s="31">
        <f t="shared" si="50"/>
        <v>407.54941314519772</v>
      </c>
      <c r="H137" s="31">
        <f>H121+H133+H135</f>
        <v>406.00089761481388</v>
      </c>
      <c r="I137" s="31">
        <f t="shared" si="50"/>
        <v>406.42229035583694</v>
      </c>
      <c r="J137" s="31">
        <f t="shared" si="50"/>
        <v>406.73241421312446</v>
      </c>
      <c r="K137" s="31">
        <f t="shared" si="50"/>
        <v>407.93290633572877</v>
      </c>
      <c r="L137" s="31">
        <f t="shared" si="50"/>
        <v>406.20082008331292</v>
      </c>
      <c r="M137" s="31">
        <f t="shared" si="50"/>
        <v>406.98133330553139</v>
      </c>
      <c r="N137" s="31">
        <f t="shared" si="50"/>
        <v>408.82992744788868</v>
      </c>
      <c r="O137" s="31">
        <f t="shared" si="50"/>
        <v>410.79740172740503</v>
      </c>
      <c r="P137" s="31">
        <f t="shared" si="50"/>
        <v>411.67975785641511</v>
      </c>
      <c r="Q137" s="31">
        <f t="shared" si="50"/>
        <v>450.3108855292553</v>
      </c>
      <c r="R137" s="31"/>
      <c r="S137" s="11">
        <f t="shared" si="39"/>
        <v>5639.3247177419362</v>
      </c>
    </row>
    <row r="138" spans="1:19">
      <c r="A138" s="5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11"/>
    </row>
    <row r="139" spans="1:19">
      <c r="A139" s="39" t="s">
        <v>648</v>
      </c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11"/>
    </row>
    <row r="140" spans="1:19">
      <c r="A140" s="5" t="s">
        <v>111</v>
      </c>
      <c r="B140" s="31"/>
      <c r="C140" s="31"/>
      <c r="D140" s="31">
        <f>(Physical!D662*Labour!$D24+Physical!D663*Labour!$D25+Physical!D664*Labour!$D26)*'Phys Input'!$B$8/1000</f>
        <v>0</v>
      </c>
      <c r="E140" s="31">
        <f>(Physical!E662*Labour!$D24+Physical!E663*Labour!$D25+Physical!E664*Labour!$D26)*'Phys Input'!$B$8/1000</f>
        <v>295.41666666666663</v>
      </c>
      <c r="F140" s="31">
        <f>(Physical!F662*Labour!$D24+Physical!F663*Labour!$D25+Physical!F664*Labour!$D26)*'Phys Input'!$B$8/1000</f>
        <v>295.41666666666663</v>
      </c>
      <c r="G140" s="31">
        <f>(Physical!G662*Labour!$D24+Physical!G663*Labour!$D25+Physical!G664*Labour!$D26)*'Phys Input'!$B$8/1000</f>
        <v>295.41666666666663</v>
      </c>
      <c r="H140" s="31">
        <f>(Physical!H662*Labour!$D24+Physical!H663*Labour!$D25+Physical!H664*Labour!$D26)*'Phys Input'!$B$8/1000</f>
        <v>295.41666666666663</v>
      </c>
      <c r="I140" s="31">
        <f>(Physical!I662*Labour!$D24+Physical!I663*Labour!$D25+Physical!I664*Labour!$D26)*'Phys Input'!$B$8/1000</f>
        <v>295.41666666666663</v>
      </c>
      <c r="J140" s="31">
        <f>(Physical!J662*Labour!$D24+Physical!J663*Labour!$D25+Physical!J664*Labour!$D26)*'Phys Input'!$B$8/1000</f>
        <v>295.41666666666663</v>
      </c>
      <c r="K140" s="31">
        <f>(Physical!K662*Labour!$D24+Physical!K663*Labour!$D25+Physical!K664*Labour!$D26)*'Phys Input'!$B$8/1000</f>
        <v>295.41666666666663</v>
      </c>
      <c r="L140" s="31">
        <f>(Physical!L662*Labour!$D24+Physical!L663*Labour!$D25+Physical!L664*Labour!$D26)*'Phys Input'!$B$8/1000</f>
        <v>295.41666666666663</v>
      </c>
      <c r="M140" s="31">
        <f>(Physical!M662*Labour!$D24+Physical!M663*Labour!$D25+Physical!M664*Labour!$D26)*'Phys Input'!$B$8/1000</f>
        <v>295.41666666666663</v>
      </c>
      <c r="N140" s="31">
        <f>(Physical!N662*Labour!$D24+Physical!N663*Labour!$D25+Physical!N664*Labour!$D26)*'Phys Input'!$B$8/1000</f>
        <v>295.41666666666663</v>
      </c>
      <c r="O140" s="31">
        <f>(Physical!O662*Labour!$D24+Physical!O663*Labour!$D25+Physical!O664*Labour!$D26)*'Phys Input'!$B$8/1000</f>
        <v>295.41666666666663</v>
      </c>
      <c r="P140" s="31">
        <f>(Physical!P662*Labour!$D24+Physical!P663*Labour!$D25+Physical!P664*Labour!$D26)*'Phys Input'!$B$8/1000</f>
        <v>295.41666666666663</v>
      </c>
      <c r="Q140" s="31">
        <f>(Physical!Q662*Labour!$D24+Physical!Q663*Labour!$D25+Physical!Q664*Labour!$D26)*'Phys Input'!$B$8/1000</f>
        <v>147.70833333333331</v>
      </c>
      <c r="R140" s="31"/>
      <c r="S140" s="11">
        <f t="shared" si="39"/>
        <v>3692.7083333333321</v>
      </c>
    </row>
    <row r="141" spans="1:19">
      <c r="A141" s="5" t="s">
        <v>118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11">
        <f t="shared" si="39"/>
        <v>0</v>
      </c>
    </row>
    <row r="142" spans="1:19">
      <c r="A142" s="5" t="s">
        <v>559</v>
      </c>
      <c r="B142" s="31"/>
      <c r="C142" s="31"/>
      <c r="D142" s="31">
        <f>Physical!D748*Input!$B$226*'Phys Input'!$B$8/1000</f>
        <v>30</v>
      </c>
      <c r="E142" s="31">
        <f>Physical!E748*Input!$B$226*'Phys Input'!$B$8/1000</f>
        <v>30</v>
      </c>
      <c r="F142" s="31">
        <f>Physical!F748*Input!$B$226*'Phys Input'!$B$8/1000</f>
        <v>30</v>
      </c>
      <c r="G142" s="31">
        <f>Physical!G748*Input!$B$226*'Phys Input'!$B$8/1000</f>
        <v>30</v>
      </c>
      <c r="H142" s="31">
        <f>Physical!H748*Input!$B$226*'Phys Input'!$B$8/1000</f>
        <v>30</v>
      </c>
      <c r="I142" s="31">
        <f>Physical!I748*Input!$B$226*'Phys Input'!$B$8/1000</f>
        <v>30</v>
      </c>
      <c r="J142" s="31">
        <f>Physical!J748*Input!$B$226*'Phys Input'!$B$8/1000</f>
        <v>30</v>
      </c>
      <c r="K142" s="31">
        <f>Physical!K748*Input!$B$226*'Phys Input'!$B$8/1000</f>
        <v>30</v>
      </c>
      <c r="L142" s="31">
        <f>Physical!L748*Input!$B$226*'Phys Input'!$B$8/1000</f>
        <v>30</v>
      </c>
      <c r="M142" s="31">
        <f>Physical!M748*Input!$B$226*'Phys Input'!$B$8/1000</f>
        <v>30</v>
      </c>
      <c r="N142" s="31">
        <f>Physical!N748*Input!$B$226*'Phys Input'!$B$8/1000</f>
        <v>30</v>
      </c>
      <c r="O142" s="31">
        <f>Physical!O748*Input!$B$226*'Phys Input'!$B$8/1000</f>
        <v>30</v>
      </c>
      <c r="P142" s="31">
        <f>Physical!P748*Input!$B$226*'Phys Input'!$B$8/1000</f>
        <v>30</v>
      </c>
      <c r="Q142" s="31">
        <f>Physical!Q748*Input!$B$226*'Phys Input'!$B$8/1000</f>
        <v>30</v>
      </c>
      <c r="R142" s="31"/>
      <c r="S142" s="11">
        <f t="shared" si="39"/>
        <v>420</v>
      </c>
    </row>
    <row r="143" spans="1:19">
      <c r="A143" s="5" t="s">
        <v>80</v>
      </c>
      <c r="B143" s="31"/>
      <c r="C143" s="31"/>
      <c r="D143" s="31">
        <f>SUM(D140:D142)</f>
        <v>30</v>
      </c>
      <c r="E143" s="31">
        <f t="shared" ref="E143:Q143" si="51">SUM(E140:E142)</f>
        <v>325.41666666666663</v>
      </c>
      <c r="F143" s="31">
        <f t="shared" si="51"/>
        <v>325.41666666666663</v>
      </c>
      <c r="G143" s="31">
        <f t="shared" si="51"/>
        <v>325.41666666666663</v>
      </c>
      <c r="H143" s="31">
        <f t="shared" si="51"/>
        <v>325.41666666666663</v>
      </c>
      <c r="I143" s="31">
        <f t="shared" si="51"/>
        <v>325.41666666666663</v>
      </c>
      <c r="J143" s="31">
        <f t="shared" si="51"/>
        <v>325.41666666666663</v>
      </c>
      <c r="K143" s="31">
        <f t="shared" si="51"/>
        <v>325.41666666666663</v>
      </c>
      <c r="L143" s="31">
        <f t="shared" si="51"/>
        <v>325.41666666666663</v>
      </c>
      <c r="M143" s="31">
        <f t="shared" si="51"/>
        <v>325.41666666666663</v>
      </c>
      <c r="N143" s="31">
        <f t="shared" si="51"/>
        <v>325.41666666666663</v>
      </c>
      <c r="O143" s="31">
        <f t="shared" si="51"/>
        <v>325.41666666666663</v>
      </c>
      <c r="P143" s="31">
        <f t="shared" si="51"/>
        <v>325.41666666666663</v>
      </c>
      <c r="Q143" s="31">
        <f t="shared" si="51"/>
        <v>177.70833333333331</v>
      </c>
      <c r="R143" s="31"/>
      <c r="S143" s="11">
        <f t="shared" si="39"/>
        <v>4112.7083333333321</v>
      </c>
    </row>
    <row r="144" spans="1:19">
      <c r="A144" s="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11"/>
    </row>
    <row r="145" spans="1:19">
      <c r="A145" s="39" t="s">
        <v>113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11"/>
    </row>
    <row r="146" spans="1:19">
      <c r="A146" s="5" t="s">
        <v>80</v>
      </c>
      <c r="B146" s="31"/>
      <c r="C146" s="31"/>
      <c r="D146" s="31">
        <f>(D87+D90+D117+SUM(D118:D143))*Input!$B229</f>
        <v>1535.3815241248478</v>
      </c>
      <c r="E146" s="31">
        <f>(E87+E90+E117+SUM(E118:E143))*Input!$B229</f>
        <v>1650.9327031898815</v>
      </c>
      <c r="F146" s="31">
        <f>(F87+F90+F117+SUM(F118:F143))*Input!$B229</f>
        <v>1636.0504775298498</v>
      </c>
      <c r="G146" s="31">
        <f>(G87+G90+G117+SUM(G118:G143))*Input!$B229</f>
        <v>1589.7638575967551</v>
      </c>
      <c r="H146" s="31">
        <f>(H87+H90+H117+SUM(H118:H143))*Input!$B229</f>
        <v>1342.4262780834208</v>
      </c>
      <c r="I146" s="31">
        <f>(I87+I90+I117+SUM(I118:I143))*Input!$B229</f>
        <v>1307.9625514162135</v>
      </c>
      <c r="J146" s="31">
        <f>(J87+J90+J117+SUM(J118:J143))*Input!$B229</f>
        <v>1283.8104483598045</v>
      </c>
      <c r="K146" s="31">
        <f>(K87+K90+K117+SUM(K118:K143))*Input!$B229</f>
        <v>1296.9883723628493</v>
      </c>
      <c r="L146" s="31">
        <f>(L87+L90+L117+SUM(L118:L143))*Input!$B229</f>
        <v>1278.3976586268163</v>
      </c>
      <c r="M146" s="31">
        <f>(M87+M90+M117+SUM(M118:M143))*Input!$B229</f>
        <v>1255.2036424050684</v>
      </c>
      <c r="N146" s="31">
        <f>(N87+N90+N117+SUM(N118:N143))*Input!$B229</f>
        <v>1374.2747929760599</v>
      </c>
      <c r="O146" s="31">
        <f>(O87+O90+O117+SUM(O118:O143))*Input!$B229</f>
        <v>1334.2330976073915</v>
      </c>
      <c r="P146" s="31">
        <f>(P87+P90+P117+SUM(P118:P143))*Input!$B229</f>
        <v>1349.9601488292565</v>
      </c>
      <c r="Q146" s="31">
        <f>(Q87+Q90+Q117+SUM(Q118:Q143))*Input!$B229</f>
        <v>1507.464414719492</v>
      </c>
      <c r="R146" s="31"/>
      <c r="S146" s="11">
        <f t="shared" si="39"/>
        <v>19742.849967827704</v>
      </c>
    </row>
    <row r="147" spans="1:19">
      <c r="A147" s="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11"/>
    </row>
    <row r="148" spans="1:19">
      <c r="A148" s="39" t="s">
        <v>5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11"/>
    </row>
    <row r="149" spans="1:19">
      <c r="A149" s="5" t="s">
        <v>320</v>
      </c>
      <c r="B149" s="91">
        <f>B87+B90+B117+B137+B143+B146</f>
        <v>0</v>
      </c>
      <c r="C149" s="91">
        <f t="shared" ref="C149:Q149" si="52">C87+C90+C117+C137+C143+C146</f>
        <v>0</v>
      </c>
      <c r="D149" s="91">
        <f t="shared" si="52"/>
        <v>8527.4891447490882</v>
      </c>
      <c r="E149" s="91">
        <f t="shared" si="52"/>
        <v>8651.4227200698333</v>
      </c>
      <c r="F149" s="91">
        <f t="shared" si="52"/>
        <v>8497.2124319158429</v>
      </c>
      <c r="G149" s="91">
        <f t="shared" si="52"/>
        <v>8245.0774395706485</v>
      </c>
      <c r="H149" s="91">
        <f t="shared" si="52"/>
        <v>6765.4757976859446</v>
      </c>
      <c r="I149" s="91">
        <f t="shared" si="52"/>
        <v>6557.4895930959301</v>
      </c>
      <c r="J149" s="91">
        <f t="shared" si="52"/>
        <v>6411.691005706567</v>
      </c>
      <c r="K149" s="91">
        <f t="shared" si="52"/>
        <v>6487.3289558980678</v>
      </c>
      <c r="L149" s="91">
        <f t="shared" si="52"/>
        <v>6380.7329377868709</v>
      </c>
      <c r="M149" s="91">
        <f t="shared" si="52"/>
        <v>6239.3390521235569</v>
      </c>
      <c r="N149" s="91">
        <f t="shared" si="52"/>
        <v>6948.4848487938234</v>
      </c>
      <c r="O149" s="91">
        <f t="shared" si="52"/>
        <v>6702.6139502844026</v>
      </c>
      <c r="P149" s="91">
        <f t="shared" si="52"/>
        <v>6794.4555220971451</v>
      </c>
      <c r="Q149" s="91">
        <f t="shared" si="52"/>
        <v>7776.8271464358359</v>
      </c>
      <c r="R149" s="91"/>
      <c r="S149" s="92">
        <f>SUM(B149:R149)</f>
        <v>100985.64054621356</v>
      </c>
    </row>
    <row r="150" spans="1:19">
      <c r="A150" s="8"/>
      <c r="B150" s="34"/>
      <c r="C150" s="34"/>
      <c r="D150" s="34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2"/>
    </row>
    <row r="153" spans="1:19">
      <c r="A153" s="13" t="s">
        <v>0</v>
      </c>
      <c r="B153" s="77"/>
      <c r="C153" s="77"/>
      <c r="D153" s="7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"/>
    </row>
    <row r="154" spans="1:19">
      <c r="A154" s="16" t="str">
        <f>Title!$F$10</f>
        <v>ARTHUR RIVER MAGNESITE PROJECT</v>
      </c>
      <c r="B154" s="78"/>
      <c r="C154" s="78"/>
      <c r="D154" s="78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</row>
    <row r="155" spans="1:19">
      <c r="A155" s="16" t="str">
        <f>Title!$F$12</f>
        <v>ORDER OF MAGNITUDE COST STUDY: CALCINE PRODUCTION ONLY</v>
      </c>
      <c r="B155" s="78"/>
      <c r="C155" s="78"/>
      <c r="D155" s="78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</row>
    <row r="156" spans="1:19">
      <c r="A156" s="19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 t="str">
        <f>Title!$F$19</f>
        <v>3 October 2011</v>
      </c>
      <c r="S156" s="18"/>
    </row>
    <row r="157" spans="1:19">
      <c r="A157" s="20" t="s">
        <v>584</v>
      </c>
      <c r="B157" s="79"/>
      <c r="C157" s="79"/>
      <c r="D157" s="79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</row>
    <row r="158" spans="1:19">
      <c r="A158" s="38"/>
      <c r="B158" s="41" t="s">
        <v>26</v>
      </c>
      <c r="C158" s="41" t="s">
        <v>26</v>
      </c>
      <c r="D158" s="41" t="s">
        <v>26</v>
      </c>
      <c r="E158" s="41" t="s">
        <v>26</v>
      </c>
      <c r="F158" s="41" t="s">
        <v>26</v>
      </c>
      <c r="G158" s="41" t="s">
        <v>26</v>
      </c>
      <c r="H158" s="41" t="s">
        <v>26</v>
      </c>
      <c r="I158" s="41" t="s">
        <v>26</v>
      </c>
      <c r="J158" s="41" t="s">
        <v>26</v>
      </c>
      <c r="K158" s="41" t="s">
        <v>26</v>
      </c>
      <c r="L158" s="41" t="s">
        <v>26</v>
      </c>
      <c r="M158" s="41" t="s">
        <v>26</v>
      </c>
      <c r="N158" s="41" t="s">
        <v>26</v>
      </c>
      <c r="O158" s="41" t="s">
        <v>26</v>
      </c>
      <c r="P158" s="41" t="s">
        <v>26</v>
      </c>
      <c r="Q158" s="41" t="s">
        <v>26</v>
      </c>
      <c r="R158" s="41"/>
      <c r="S158" s="42" t="s">
        <v>5</v>
      </c>
    </row>
    <row r="159" spans="1:19">
      <c r="A159" s="8"/>
      <c r="B159" s="43">
        <v>-3</v>
      </c>
      <c r="C159" s="43">
        <v>-2</v>
      </c>
      <c r="D159" s="43">
        <v>-1</v>
      </c>
      <c r="E159" s="43">
        <v>1</v>
      </c>
      <c r="F159" s="43">
        <v>2</v>
      </c>
      <c r="G159" s="43">
        <v>3</v>
      </c>
      <c r="H159" s="43">
        <v>4</v>
      </c>
      <c r="I159" s="43">
        <v>5</v>
      </c>
      <c r="J159" s="43">
        <v>6</v>
      </c>
      <c r="K159" s="43">
        <v>7</v>
      </c>
      <c r="L159" s="43">
        <v>8</v>
      </c>
      <c r="M159" s="43">
        <v>9</v>
      </c>
      <c r="N159" s="43">
        <v>10</v>
      </c>
      <c r="O159" s="43">
        <v>11</v>
      </c>
      <c r="P159" s="43">
        <v>12</v>
      </c>
      <c r="Q159" s="43">
        <v>13</v>
      </c>
      <c r="R159" s="43"/>
      <c r="S159" s="44"/>
    </row>
    <row r="160" spans="1:19">
      <c r="A160" s="5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11"/>
    </row>
    <row r="161" spans="1:19">
      <c r="A161" s="39" t="s">
        <v>329</v>
      </c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11"/>
    </row>
    <row r="162" spans="1:19">
      <c r="A162" s="5" t="s">
        <v>332</v>
      </c>
      <c r="B162" s="31"/>
      <c r="C162" s="31"/>
      <c r="D162" s="31"/>
      <c r="E162" s="31">
        <f>Physical!E560*Input!$B240/1000</f>
        <v>95.958057300116877</v>
      </c>
      <c r="F162" s="31">
        <f>Physical!F560*Input!$B240/1000</f>
        <v>123.09711024548268</v>
      </c>
      <c r="G162" s="31">
        <f>Physical!G560*Input!$B240/1000</f>
        <v>123.09711024548268</v>
      </c>
      <c r="H162" s="31">
        <f>Physical!H560*Input!$B240/1000</f>
        <v>123.09711024548268</v>
      </c>
      <c r="I162" s="31">
        <f>Physical!I560*Input!$B240/1000</f>
        <v>123.09711024548268</v>
      </c>
      <c r="J162" s="31">
        <f>Physical!J560*Input!$B240/1000</f>
        <v>123.09711024548268</v>
      </c>
      <c r="K162" s="31">
        <f>Physical!K560*Input!$B240/1000</f>
        <v>123.09711024548268</v>
      </c>
      <c r="L162" s="31">
        <f>Physical!L560*Input!$B240/1000</f>
        <v>123.09711024548268</v>
      </c>
      <c r="M162" s="31">
        <f>Physical!M560*Input!$B240/1000</f>
        <v>123.09711024548268</v>
      </c>
      <c r="N162" s="31">
        <f>Physical!N560*Input!$B240/1000</f>
        <v>123.09711024548268</v>
      </c>
      <c r="O162" s="31">
        <f>Physical!O560*Input!$B240/1000</f>
        <v>123.09711024548268</v>
      </c>
      <c r="P162" s="31">
        <f>Physical!P560*Input!$B240/1000</f>
        <v>123.09711024548268</v>
      </c>
      <c r="Q162" s="31">
        <f>Physical!Q560*Input!$B240/1000</f>
        <v>201.9395031954499</v>
      </c>
      <c r="R162" s="31"/>
      <c r="S162" s="11">
        <f t="shared" ref="S162:S165" si="53">SUM(B162:R162)</f>
        <v>1651.9657731958764</v>
      </c>
    </row>
    <row r="163" spans="1:19">
      <c r="A163" s="5" t="s">
        <v>330</v>
      </c>
      <c r="B163" s="31"/>
      <c r="C163" s="31"/>
      <c r="D163" s="31"/>
      <c r="E163" s="31">
        <f>Physical!E560*Input!$B241/1000</f>
        <v>2111.0772606025716</v>
      </c>
      <c r="F163" s="31">
        <f>Physical!F560*Input!$B241/1000</f>
        <v>2708.1364254006189</v>
      </c>
      <c r="G163" s="31">
        <f>Physical!G560*Input!$B241/1000</f>
        <v>2708.1364254006189</v>
      </c>
      <c r="H163" s="31">
        <f>Physical!H560*Input!$B241/1000</f>
        <v>2708.1364254006189</v>
      </c>
      <c r="I163" s="31">
        <f>Physical!I560*Input!$B241/1000</f>
        <v>2708.1364254006189</v>
      </c>
      <c r="J163" s="31">
        <f>Physical!J560*Input!$B241/1000</f>
        <v>2708.1364254006189</v>
      </c>
      <c r="K163" s="31">
        <f>Physical!K560*Input!$B241/1000</f>
        <v>2708.1364254006189</v>
      </c>
      <c r="L163" s="31">
        <f>Physical!L560*Input!$B241/1000</f>
        <v>2708.1364254006189</v>
      </c>
      <c r="M163" s="31">
        <f>Physical!M560*Input!$B241/1000</f>
        <v>2708.1364254006189</v>
      </c>
      <c r="N163" s="31">
        <f>Physical!N560*Input!$B241/1000</f>
        <v>2708.1364254006189</v>
      </c>
      <c r="O163" s="31">
        <f>Physical!O560*Input!$B241/1000</f>
        <v>2708.1364254006189</v>
      </c>
      <c r="P163" s="31">
        <f>Physical!P560*Input!$B241/1000</f>
        <v>2708.1364254006189</v>
      </c>
      <c r="Q163" s="31">
        <f>Physical!Q560*Input!$B241/1000</f>
        <v>4442.6690702998985</v>
      </c>
      <c r="R163" s="31"/>
      <c r="S163" s="11">
        <f t="shared" si="53"/>
        <v>36343.247010309278</v>
      </c>
    </row>
    <row r="164" spans="1:19">
      <c r="A164" s="5" t="s">
        <v>331</v>
      </c>
      <c r="B164" s="31"/>
      <c r="C164" s="31"/>
      <c r="D164" s="31"/>
      <c r="E164" s="31">
        <f>Physical!E560*Input!$E242/1000</f>
        <v>984.52966789919913</v>
      </c>
      <c r="F164" s="31">
        <f>Physical!F560*Input!$E242/1000</f>
        <v>1262.9763511186522</v>
      </c>
      <c r="G164" s="31">
        <f>Physical!G560*Input!$E242/1000</f>
        <v>1262.9763511186522</v>
      </c>
      <c r="H164" s="31">
        <f>Physical!H560*Input!$E242/1000</f>
        <v>1262.9763511186522</v>
      </c>
      <c r="I164" s="31">
        <f>Physical!I560*Input!$E242/1000</f>
        <v>1262.9763511186522</v>
      </c>
      <c r="J164" s="31">
        <f>Physical!J560*Input!$E242/1000</f>
        <v>1262.9763511186522</v>
      </c>
      <c r="K164" s="31">
        <f>Physical!K560*Input!$E242/1000</f>
        <v>1262.9763511186522</v>
      </c>
      <c r="L164" s="31">
        <f>Physical!L560*Input!$E242/1000</f>
        <v>1262.9763511186522</v>
      </c>
      <c r="M164" s="31">
        <f>Physical!M560*Input!$E242/1000</f>
        <v>1262.9763511186522</v>
      </c>
      <c r="N164" s="31">
        <f>Physical!N560*Input!$E242/1000</f>
        <v>1262.9763511186522</v>
      </c>
      <c r="O164" s="31">
        <f>Physical!O560*Input!$E242/1000</f>
        <v>1262.9763511186522</v>
      </c>
      <c r="P164" s="31">
        <f>Physical!P560*Input!$E242/1000</f>
        <v>1262.9763511186522</v>
      </c>
      <c r="Q164" s="31">
        <f>Physical!Q560*Input!$E242/1000</f>
        <v>2071.8993027853162</v>
      </c>
      <c r="R164" s="31"/>
      <c r="S164" s="11">
        <f t="shared" si="53"/>
        <v>16949.16883298969</v>
      </c>
    </row>
    <row r="165" spans="1:19">
      <c r="A165" s="5" t="s">
        <v>113</v>
      </c>
      <c r="B165" s="31"/>
      <c r="C165" s="31"/>
      <c r="D165" s="31"/>
      <c r="E165" s="31">
        <f>SUM(E162:E164)*Input!$B244</f>
        <v>319.15649858018878</v>
      </c>
      <c r="F165" s="31">
        <f>SUM(F162:F164)*Input!$B244</f>
        <v>409.42098867647542</v>
      </c>
      <c r="G165" s="31">
        <f>SUM(G162:G164)*Input!$B244</f>
        <v>409.42098867647542</v>
      </c>
      <c r="H165" s="31">
        <f>SUM(H162:H164)*Input!$B244</f>
        <v>409.42098867647542</v>
      </c>
      <c r="I165" s="31">
        <f>SUM(I162:I164)*Input!$B244</f>
        <v>409.42098867647542</v>
      </c>
      <c r="J165" s="31">
        <f>SUM(J162:J164)*Input!$B244</f>
        <v>409.42098867647542</v>
      </c>
      <c r="K165" s="31">
        <f>SUM(K162:K164)*Input!$B244</f>
        <v>409.42098867647542</v>
      </c>
      <c r="L165" s="31">
        <f>SUM(L162:L164)*Input!$B244</f>
        <v>409.42098867647542</v>
      </c>
      <c r="M165" s="31">
        <f>SUM(M162:M164)*Input!$B244</f>
        <v>409.42098867647542</v>
      </c>
      <c r="N165" s="31">
        <f>SUM(N162:N164)*Input!$B244</f>
        <v>409.42098867647542</v>
      </c>
      <c r="O165" s="31">
        <f>SUM(O162:O164)*Input!$B244</f>
        <v>409.42098867647542</v>
      </c>
      <c r="P165" s="31">
        <f>SUM(P162:P164)*Input!$B244</f>
        <v>409.42098867647542</v>
      </c>
      <c r="Q165" s="31">
        <f>SUM(Q162:Q164)*Input!$B244</f>
        <v>671.6507876280665</v>
      </c>
      <c r="R165" s="31"/>
      <c r="S165" s="11">
        <f t="shared" si="53"/>
        <v>5494.4381616494866</v>
      </c>
    </row>
    <row r="166" spans="1:19">
      <c r="A166" s="5" t="s">
        <v>80</v>
      </c>
      <c r="B166" s="91">
        <f>SUM(B162:B165)</f>
        <v>0</v>
      </c>
      <c r="C166" s="91">
        <f t="shared" ref="C166:Q166" si="54">SUM(C162:C165)</f>
        <v>0</v>
      </c>
      <c r="D166" s="91">
        <f t="shared" si="54"/>
        <v>0</v>
      </c>
      <c r="E166" s="91">
        <f t="shared" si="54"/>
        <v>3510.7214843820761</v>
      </c>
      <c r="F166" s="91">
        <f t="shared" si="54"/>
        <v>4503.6308754412294</v>
      </c>
      <c r="G166" s="91">
        <f t="shared" si="54"/>
        <v>4503.6308754412294</v>
      </c>
      <c r="H166" s="91">
        <f t="shared" si="54"/>
        <v>4503.6308754412294</v>
      </c>
      <c r="I166" s="91">
        <f t="shared" si="54"/>
        <v>4503.6308754412294</v>
      </c>
      <c r="J166" s="91">
        <f t="shared" si="54"/>
        <v>4503.6308754412294</v>
      </c>
      <c r="K166" s="91">
        <f t="shared" si="54"/>
        <v>4503.6308754412294</v>
      </c>
      <c r="L166" s="91">
        <f t="shared" si="54"/>
        <v>4503.6308754412294</v>
      </c>
      <c r="M166" s="91">
        <f t="shared" si="54"/>
        <v>4503.6308754412294</v>
      </c>
      <c r="N166" s="91">
        <f t="shared" si="54"/>
        <v>4503.6308754412294</v>
      </c>
      <c r="O166" s="91">
        <f t="shared" si="54"/>
        <v>4503.6308754412294</v>
      </c>
      <c r="P166" s="91">
        <f t="shared" si="54"/>
        <v>4503.6308754412294</v>
      </c>
      <c r="Q166" s="91">
        <f t="shared" si="54"/>
        <v>7388.1586639087309</v>
      </c>
      <c r="R166" s="91"/>
      <c r="S166" s="92">
        <f>SUM(B166:R166)</f>
        <v>60438.819778144345</v>
      </c>
    </row>
    <row r="167" spans="1:19">
      <c r="A167" s="5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11"/>
    </row>
    <row r="168" spans="1:19">
      <c r="A168" s="39" t="s">
        <v>333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11"/>
    </row>
    <row r="169" spans="1:19">
      <c r="A169" s="5" t="s">
        <v>111</v>
      </c>
      <c r="B169" s="31"/>
      <c r="C169" s="31"/>
      <c r="D169" s="31"/>
      <c r="E169" s="31">
        <f>IF(Physical!E$574=0,0,Input!$B248/1000)</f>
        <v>2100</v>
      </c>
      <c r="F169" s="31">
        <f>IF(Physical!F$574=0,0,Input!$B248/1000)</f>
        <v>2100</v>
      </c>
      <c r="G169" s="31">
        <f>IF(Physical!G$574=0,0,Input!$B248/1000)</f>
        <v>2100</v>
      </c>
      <c r="H169" s="31">
        <f>IF(Physical!H$574=0,0,Input!$B248/1000)</f>
        <v>2100</v>
      </c>
      <c r="I169" s="31">
        <f>IF(Physical!I$574=0,0,Input!$B248/1000)</f>
        <v>2100</v>
      </c>
      <c r="J169" s="31">
        <f>IF(Physical!J$574=0,0,Input!$B248/1000)</f>
        <v>2100</v>
      </c>
      <c r="K169" s="31">
        <f>IF(Physical!K$574=0,0,Input!$B248/1000)</f>
        <v>2100</v>
      </c>
      <c r="L169" s="31">
        <f>IF(Physical!L$574=0,0,Input!$B248/1000)</f>
        <v>2100</v>
      </c>
      <c r="M169" s="31">
        <f>IF(Physical!M$574=0,0,Input!$B248/1000)</f>
        <v>2100</v>
      </c>
      <c r="N169" s="31">
        <f>IF(Physical!N$574=0,0,Input!$B248/1000)*1/12</f>
        <v>175</v>
      </c>
      <c r="O169" s="31">
        <f>IF(Physical!O$574=0,0,Input!$B248/1000)*1/12</f>
        <v>175</v>
      </c>
      <c r="P169" s="31">
        <f>IF(Physical!P$574=0,0,Input!$B248/1000)*1/12</f>
        <v>175</v>
      </c>
      <c r="Q169" s="31">
        <f>IF(Physical!Q$574=0,0,Input!$B248/1000)*1/12</f>
        <v>175</v>
      </c>
      <c r="R169" s="31"/>
      <c r="S169" s="11">
        <f t="shared" ref="S169:S181" si="55">SUM(B169:R169)</f>
        <v>19600</v>
      </c>
    </row>
    <row r="170" spans="1:19">
      <c r="A170" s="5" t="s">
        <v>112</v>
      </c>
      <c r="B170" s="31"/>
      <c r="C170" s="31"/>
      <c r="D170" s="31"/>
      <c r="E170" s="31">
        <f>IF(Physical!E$574=0,0,Input!$B249/1000)</f>
        <v>600</v>
      </c>
      <c r="F170" s="31">
        <f>IF(Physical!F$574=0,0,Input!$B249/1000)</f>
        <v>600</v>
      </c>
      <c r="G170" s="31">
        <f>IF(Physical!G$574=0,0,Input!$B249/1000)</f>
        <v>600</v>
      </c>
      <c r="H170" s="31">
        <f>IF(Physical!H$574=0,0,Input!$B249/1000)</f>
        <v>600</v>
      </c>
      <c r="I170" s="31">
        <f>IF(Physical!I$574=0,0,Input!$B249/1000)</f>
        <v>600</v>
      </c>
      <c r="J170" s="31">
        <f>IF(Physical!J$574=0,0,Input!$B249/1000)</f>
        <v>600</v>
      </c>
      <c r="K170" s="31">
        <f>IF(Physical!K$574=0,0,Input!$B249/1000)</f>
        <v>600</v>
      </c>
      <c r="L170" s="31">
        <f>IF(Physical!L$574=0,0,Input!$B249/1000)</f>
        <v>600</v>
      </c>
      <c r="M170" s="31">
        <f>IF(Physical!M$574=0,0,Input!$B249/1000)</f>
        <v>600</v>
      </c>
      <c r="N170" s="31">
        <f>IF(Physical!N$574=0,0,Input!$B249/1000)*1/12</f>
        <v>50</v>
      </c>
      <c r="O170" s="31">
        <f>IF(Physical!O$574=0,0,Input!$B249/1000)*1/12</f>
        <v>50</v>
      </c>
      <c r="P170" s="31">
        <f>IF(Physical!P$574=0,0,Input!$B249/1000)*1/12</f>
        <v>50</v>
      </c>
      <c r="Q170" s="31">
        <f>IF(Physical!Q$574=0,0,Input!$B249/1000)*1/12</f>
        <v>50</v>
      </c>
      <c r="R170" s="31"/>
      <c r="S170" s="11">
        <f t="shared" si="55"/>
        <v>5600</v>
      </c>
    </row>
    <row r="171" spans="1:19">
      <c r="A171" s="5" t="s">
        <v>116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11"/>
    </row>
    <row r="172" spans="1:19">
      <c r="A172" s="5" t="s">
        <v>354</v>
      </c>
      <c r="B172" s="31"/>
      <c r="C172" s="31"/>
      <c r="D172" s="31"/>
      <c r="E172" s="31">
        <f>Physical!E618*Input!$B251/1000</f>
        <v>3691.2485100000008</v>
      </c>
      <c r="F172" s="31">
        <f>Physical!F618*Input!$B251/1000</f>
        <v>4799.9999999999991</v>
      </c>
      <c r="G172" s="31">
        <f>Physical!G618*Input!$B251/1000</f>
        <v>4799.9999999999991</v>
      </c>
      <c r="H172" s="31">
        <f>Physical!H618*Input!$B251/1000</f>
        <v>4800</v>
      </c>
      <c r="I172" s="31">
        <f>Physical!I618*Input!$B251/1000</f>
        <v>4800</v>
      </c>
      <c r="J172" s="31">
        <f>Physical!J618*Input!$B251/1000</f>
        <v>4800</v>
      </c>
      <c r="K172" s="31">
        <f>Physical!K618*Input!$B251/1000</f>
        <v>4799.9999999999991</v>
      </c>
      <c r="L172" s="31">
        <f>Physical!L618*Input!$B251/1000</f>
        <v>4799.9999999999991</v>
      </c>
      <c r="M172" s="31">
        <f>Physical!M618*Input!$B251/1000</f>
        <v>4800</v>
      </c>
      <c r="N172" s="31">
        <f>Physical!N618*Input!$B251/1000</f>
        <v>4800</v>
      </c>
      <c r="O172" s="31">
        <f>Physical!O618*Input!$B251/1000</f>
        <v>4800</v>
      </c>
      <c r="P172" s="31">
        <f>Physical!P618*Input!$B251/1000</f>
        <v>4800</v>
      </c>
      <c r="Q172" s="31">
        <f>Physical!Q618*Input!$B251/1000</f>
        <v>7924.8510680255886</v>
      </c>
      <c r="R172" s="31"/>
      <c r="S172" s="11">
        <f t="shared" si="55"/>
        <v>64416.099578025583</v>
      </c>
    </row>
    <row r="173" spans="1:19">
      <c r="A173" s="5" t="s">
        <v>500</v>
      </c>
      <c r="B173" s="31"/>
      <c r="C173" s="31"/>
      <c r="D173" s="31"/>
      <c r="E173" s="31">
        <f>Physical!E574*Input!$B252/1000</f>
        <v>274.09175700962339</v>
      </c>
      <c r="F173" s="31">
        <f>Physical!F574*Input!$B252/1000</f>
        <v>356.42152786028282</v>
      </c>
      <c r="G173" s="31">
        <f>Physical!G574*Input!$B252/1000</f>
        <v>356.42152786028282</v>
      </c>
      <c r="H173" s="31">
        <f>Physical!H574*Input!$B252/1000</f>
        <v>356.42152786028282</v>
      </c>
      <c r="I173" s="31">
        <f>Physical!I574*Input!$B252/1000</f>
        <v>356.42152786028282</v>
      </c>
      <c r="J173" s="31">
        <f>Physical!J574*Input!$B252/1000</f>
        <v>356.42152786028282</v>
      </c>
      <c r="K173" s="31">
        <f>Physical!K574*Input!$B252/1000</f>
        <v>356.42152786028282</v>
      </c>
      <c r="L173" s="31">
        <f>Physical!L574*Input!$B252/1000</f>
        <v>356.42152786028282</v>
      </c>
      <c r="M173" s="31">
        <f>Physical!M574*Input!$B252/1000</f>
        <v>356.42152786028282</v>
      </c>
      <c r="N173" s="31">
        <f>Physical!N574*Input!$B252/1000</f>
        <v>356.42152786028282</v>
      </c>
      <c r="O173" s="31">
        <f>Physical!O574*Input!$B252/1000</f>
        <v>356.42152786028282</v>
      </c>
      <c r="P173" s="31">
        <f>Physical!P574*Input!$B252/1000</f>
        <v>356.42152786028282</v>
      </c>
      <c r="Q173" s="31">
        <f>Physical!Q574*Input!$B252/1000</f>
        <v>588.45573452726546</v>
      </c>
      <c r="R173" s="31"/>
      <c r="S173" s="11">
        <f t="shared" si="55"/>
        <v>4783.1842979999992</v>
      </c>
    </row>
    <row r="174" spans="1:19">
      <c r="A174" s="5" t="s">
        <v>353</v>
      </c>
      <c r="B174" s="31"/>
      <c r="C174" s="31"/>
      <c r="D174" s="31"/>
      <c r="E174" s="31">
        <f>Physical!E574*Input!$B253/1000</f>
        <v>913.63919003207809</v>
      </c>
      <c r="F174" s="31">
        <f>Physical!F574*Input!$B253/1000</f>
        <v>1188.071759534276</v>
      </c>
      <c r="G174" s="31">
        <f>Physical!G574*Input!$B253/1000</f>
        <v>1188.071759534276</v>
      </c>
      <c r="H174" s="31">
        <f>Physical!H574*Input!$B253/1000</f>
        <v>1188.071759534276</v>
      </c>
      <c r="I174" s="31">
        <f>Physical!I574*Input!$B253/1000</f>
        <v>1188.071759534276</v>
      </c>
      <c r="J174" s="31">
        <f>Physical!J574*Input!$B253/1000</f>
        <v>1188.071759534276</v>
      </c>
      <c r="K174" s="31">
        <f>Physical!K574*Input!$B253/1000</f>
        <v>1188.071759534276</v>
      </c>
      <c r="L174" s="31">
        <f>Physical!L574*Input!$B253/1000</f>
        <v>1188.071759534276</v>
      </c>
      <c r="M174" s="31">
        <f>Physical!M574*Input!$B253/1000</f>
        <v>1188.071759534276</v>
      </c>
      <c r="N174" s="31">
        <f>Physical!N574*Input!$B253/1000</f>
        <v>1188.071759534276</v>
      </c>
      <c r="O174" s="31">
        <f>Physical!O574*Input!$B253/1000</f>
        <v>1188.071759534276</v>
      </c>
      <c r="P174" s="31">
        <f>Physical!P574*Input!$B253/1000</f>
        <v>1188.071759534276</v>
      </c>
      <c r="Q174" s="31">
        <f>Physical!Q574*Input!$B253/1000</f>
        <v>1961.5191150908847</v>
      </c>
      <c r="R174" s="31"/>
      <c r="S174" s="11">
        <f t="shared" si="55"/>
        <v>15943.947659999998</v>
      </c>
    </row>
    <row r="175" spans="1:19">
      <c r="A175" s="5" t="s">
        <v>117</v>
      </c>
      <c r="B175" s="31"/>
      <c r="C175" s="31"/>
      <c r="D175" s="31"/>
      <c r="E175" s="31">
        <f>IF(Physical!E$574=0,0,Input!$B255/1000)</f>
        <v>500</v>
      </c>
      <c r="F175" s="31">
        <f>IF(Physical!F$574=0,0,Input!$B255/1000)</f>
        <v>500</v>
      </c>
      <c r="G175" s="31">
        <f>IF(Physical!G$574=0,0,Input!$B255/1000)</f>
        <v>500</v>
      </c>
      <c r="H175" s="31">
        <f>IF(Physical!H$574=0,0,Input!$B255/1000)</f>
        <v>500</v>
      </c>
      <c r="I175" s="31">
        <f>IF(Physical!I$574=0,0,Input!$B255/1000)</f>
        <v>500</v>
      </c>
      <c r="J175" s="31">
        <f>IF(Physical!J$574=0,0,Input!$B255/1000)</f>
        <v>500</v>
      </c>
      <c r="K175" s="31">
        <f>IF(Physical!K$574=0,0,Input!$B255/1000)</f>
        <v>500</v>
      </c>
      <c r="L175" s="31">
        <f>IF(Physical!L$574=0,0,Input!$B255/1000)</f>
        <v>500</v>
      </c>
      <c r="M175" s="31">
        <f>IF(Physical!M$574=0,0,Input!$B255/1000)</f>
        <v>500</v>
      </c>
      <c r="N175" s="31">
        <f>IF(Physical!N$574=0,0,Input!$B255/1000)*1/12</f>
        <v>41.666666666666664</v>
      </c>
      <c r="O175" s="31">
        <f>IF(Physical!O$574=0,0,Input!$B255/1000)*1/12</f>
        <v>41.666666666666664</v>
      </c>
      <c r="P175" s="31">
        <f>IF(Physical!P$574=0,0,Input!$B255/1000)*1/12</f>
        <v>41.666666666666664</v>
      </c>
      <c r="Q175" s="31">
        <f>IF(Physical!Q$574=0,0,Input!$B255/1000)*1/12</f>
        <v>41.666666666666664</v>
      </c>
      <c r="R175" s="31"/>
      <c r="S175" s="11">
        <f t="shared" si="55"/>
        <v>4666.6666666666679</v>
      </c>
    </row>
    <row r="176" spans="1:19">
      <c r="A176" s="5" t="s">
        <v>118</v>
      </c>
      <c r="B176" s="31"/>
      <c r="C176" s="31"/>
      <c r="D176" s="31"/>
      <c r="E176" s="31">
        <f>IF(Physical!E$574=0,0,Input!$B257/1000)</f>
        <v>180</v>
      </c>
      <c r="F176" s="31">
        <f>IF(Physical!F$574=0,0,Input!$B257/1000)</f>
        <v>180</v>
      </c>
      <c r="G176" s="31">
        <f>IF(Physical!G$574=0,0,Input!$B257/1000)</f>
        <v>180</v>
      </c>
      <c r="H176" s="31">
        <f>IF(Physical!H$574=0,0,Input!$B257/1000)</f>
        <v>180</v>
      </c>
      <c r="I176" s="31">
        <f>IF(Physical!I$574=0,0,Input!$B257/1000)</f>
        <v>180</v>
      </c>
      <c r="J176" s="31">
        <f>IF(Physical!J$574=0,0,Input!$B257/1000)</f>
        <v>180</v>
      </c>
      <c r="K176" s="31">
        <f>IF(Physical!K$574=0,0,Input!$B257/1000)</f>
        <v>180</v>
      </c>
      <c r="L176" s="31">
        <f>IF(Physical!L$574=0,0,Input!$B257/1000)</f>
        <v>180</v>
      </c>
      <c r="M176" s="31">
        <f>IF(Physical!M$574=0,0,Input!$B257/1000)</f>
        <v>180</v>
      </c>
      <c r="N176" s="31">
        <f>IF(Physical!N$574=0,0,Input!$B257/1000)*1/12</f>
        <v>15</v>
      </c>
      <c r="O176" s="31">
        <f>IF(Physical!O$574=0,0,Input!$B257/1000)*1/12</f>
        <v>15</v>
      </c>
      <c r="P176" s="31">
        <f>IF(Physical!P$574=0,0,Input!$B257/1000)*1/12</f>
        <v>15</v>
      </c>
      <c r="Q176" s="31">
        <f>IF(Physical!Q$574=0,0,Input!$B257/1000)*1/12</f>
        <v>15</v>
      </c>
      <c r="R176" s="31"/>
      <c r="S176" s="11">
        <f t="shared" si="55"/>
        <v>1680</v>
      </c>
    </row>
    <row r="177" spans="1:19">
      <c r="A177" s="5" t="s">
        <v>119</v>
      </c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11"/>
    </row>
    <row r="178" spans="1:19">
      <c r="A178" s="5" t="s">
        <v>365</v>
      </c>
      <c r="B178" s="31"/>
      <c r="C178" s="31"/>
      <c r="D178" s="31"/>
      <c r="E178" s="31">
        <f>Physical!E629*Input!$B259</f>
        <v>1553.4004146250002</v>
      </c>
      <c r="F178" s="31">
        <f>Physical!F629*Input!$B259</f>
        <v>2019.9999999999998</v>
      </c>
      <c r="G178" s="31">
        <f>Physical!G629*Input!$B259</f>
        <v>2019.9999999999998</v>
      </c>
      <c r="H178" s="31">
        <f>Physical!H629*Input!$B259</f>
        <v>2020.0000000000002</v>
      </c>
      <c r="I178" s="31">
        <f>Physical!I629*Input!$B259</f>
        <v>2020.0000000000002</v>
      </c>
      <c r="J178" s="31">
        <f>Physical!J629*Input!$B259</f>
        <v>2020.0000000000002</v>
      </c>
      <c r="K178" s="31">
        <f>Physical!K629*Input!$B259</f>
        <v>2019.9999999999998</v>
      </c>
      <c r="L178" s="31">
        <f>Physical!L629*Input!$B259</f>
        <v>2019.9999999999998</v>
      </c>
      <c r="M178" s="31">
        <f>Physical!M629*Input!$B259</f>
        <v>2020.0000000000002</v>
      </c>
      <c r="N178" s="31">
        <f>Physical!N629*Input!$B259</f>
        <v>2020.0000000000002</v>
      </c>
      <c r="O178" s="31">
        <f>Physical!O629*Input!$B259</f>
        <v>2020.0000000000002</v>
      </c>
      <c r="P178" s="31">
        <f>Physical!P629*Input!$B259</f>
        <v>2020.0000000000002</v>
      </c>
      <c r="Q178" s="31">
        <f>Physical!Q629*Input!$B259</f>
        <v>3335.0414911274352</v>
      </c>
      <c r="R178" s="31"/>
      <c r="S178" s="11">
        <f t="shared" si="55"/>
        <v>27108.441905752436</v>
      </c>
    </row>
    <row r="179" spans="1:19">
      <c r="A179" s="5" t="s">
        <v>353</v>
      </c>
      <c r="B179" s="31"/>
      <c r="C179" s="31"/>
      <c r="D179" s="31"/>
      <c r="E179" s="31">
        <f>IF(Physical!E$574=0,0,Input!$B260/1000)</f>
        <v>300</v>
      </c>
      <c r="F179" s="31">
        <f>IF(Physical!F$574=0,0,Input!$B260/1000)</f>
        <v>300</v>
      </c>
      <c r="G179" s="31">
        <f>IF(Physical!G$574=0,0,Input!$B260/1000)</f>
        <v>300</v>
      </c>
      <c r="H179" s="31">
        <f>IF(Physical!H$574=0,0,Input!$B260/1000)</f>
        <v>300</v>
      </c>
      <c r="I179" s="31">
        <f>IF(Physical!I$574=0,0,Input!$B260/1000)</f>
        <v>300</v>
      </c>
      <c r="J179" s="31">
        <f>IF(Physical!J$574=0,0,Input!$B260/1000)</f>
        <v>300</v>
      </c>
      <c r="K179" s="31">
        <f>IF(Physical!K$574=0,0,Input!$B260/1000)</f>
        <v>300</v>
      </c>
      <c r="L179" s="31">
        <f>IF(Physical!L$574=0,0,Input!$B260/1000)</f>
        <v>300</v>
      </c>
      <c r="M179" s="31">
        <f>IF(Physical!M$574=0,0,Input!$B260/1000)</f>
        <v>300</v>
      </c>
      <c r="N179" s="31">
        <f>IF(Physical!N$574=0,0,Input!$B260/1000)</f>
        <v>300</v>
      </c>
      <c r="O179" s="31">
        <f>IF(Physical!O$574=0,0,Input!$B260/1000)</f>
        <v>300</v>
      </c>
      <c r="P179" s="31">
        <f>IF(Physical!P$574=0,0,Input!$B260/1000)</f>
        <v>300</v>
      </c>
      <c r="Q179" s="31">
        <f>IF(Physical!Q$574=0,0,Input!$B260/1000)</f>
        <v>300</v>
      </c>
      <c r="R179" s="31"/>
      <c r="S179" s="11">
        <f t="shared" si="55"/>
        <v>3900</v>
      </c>
    </row>
    <row r="180" spans="1:19">
      <c r="A180" s="5" t="s">
        <v>559</v>
      </c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11">
        <f t="shared" si="55"/>
        <v>0</v>
      </c>
    </row>
    <row r="181" spans="1:19">
      <c r="A181" s="5" t="s">
        <v>113</v>
      </c>
      <c r="B181" s="31"/>
      <c r="C181" s="31"/>
      <c r="D181" s="31"/>
      <c r="E181" s="31">
        <f>SUM(E169:E179)*Input!$B262</f>
        <v>2022.4759743333409</v>
      </c>
      <c r="F181" s="31">
        <f>SUM(F169:F179)*Input!$B262</f>
        <v>2408.8986574789119</v>
      </c>
      <c r="G181" s="31">
        <f>SUM(G169:G179)*Input!$B262</f>
        <v>2408.8986574789119</v>
      </c>
      <c r="H181" s="31">
        <f>SUM(H169:H179)*Input!$B262</f>
        <v>2408.8986574789119</v>
      </c>
      <c r="I181" s="31">
        <f>SUM(I169:I179)*Input!$B262</f>
        <v>2408.8986574789119</v>
      </c>
      <c r="J181" s="31">
        <f>SUM(J169:J179)*Input!$B262</f>
        <v>2408.8986574789119</v>
      </c>
      <c r="K181" s="31">
        <f>SUM(K169:K179)*Input!$B262</f>
        <v>2408.8986574789119</v>
      </c>
      <c r="L181" s="31">
        <f>SUM(L169:L179)*Input!$B262</f>
        <v>2408.8986574789119</v>
      </c>
      <c r="M181" s="31">
        <f>SUM(M169:M179)*Input!$B262</f>
        <v>2408.8986574789119</v>
      </c>
      <c r="N181" s="31">
        <f>SUM(N169:N179)*Input!$B262</f>
        <v>1789.2319908122454</v>
      </c>
      <c r="O181" s="31">
        <f>SUM(O169:O179)*Input!$B262</f>
        <v>1789.2319908122454</v>
      </c>
      <c r="P181" s="31">
        <f>SUM(P169:P179)*Input!$B262</f>
        <v>1789.2319908122454</v>
      </c>
      <c r="Q181" s="31">
        <f>SUM(Q169:Q179)*Input!$B262</f>
        <v>2878.3068150875679</v>
      </c>
      <c r="R181" s="31"/>
      <c r="S181" s="11">
        <f t="shared" si="55"/>
        <v>29539.668021688936</v>
      </c>
    </row>
    <row r="182" spans="1:19">
      <c r="A182" s="5" t="s">
        <v>80</v>
      </c>
      <c r="B182" s="91">
        <f>SUM(B169:B181)</f>
        <v>0</v>
      </c>
      <c r="C182" s="91">
        <f t="shared" ref="C182:N182" si="56">SUM(C169:C181)</f>
        <v>0</v>
      </c>
      <c r="D182" s="91">
        <f t="shared" si="56"/>
        <v>0</v>
      </c>
      <c r="E182" s="91">
        <f t="shared" si="56"/>
        <v>12134.855846000046</v>
      </c>
      <c r="F182" s="91">
        <f t="shared" si="56"/>
        <v>14453.39194487347</v>
      </c>
      <c r="G182" s="91">
        <f t="shared" si="56"/>
        <v>14453.39194487347</v>
      </c>
      <c r="H182" s="91">
        <f t="shared" si="56"/>
        <v>14453.39194487347</v>
      </c>
      <c r="I182" s="91">
        <f t="shared" si="56"/>
        <v>14453.39194487347</v>
      </c>
      <c r="J182" s="91">
        <f t="shared" si="56"/>
        <v>14453.39194487347</v>
      </c>
      <c r="K182" s="91">
        <f t="shared" si="56"/>
        <v>14453.39194487347</v>
      </c>
      <c r="L182" s="91">
        <f t="shared" si="56"/>
        <v>14453.39194487347</v>
      </c>
      <c r="M182" s="91">
        <f t="shared" si="56"/>
        <v>14453.39194487347</v>
      </c>
      <c r="N182" s="91">
        <f t="shared" si="56"/>
        <v>10735.39194487347</v>
      </c>
      <c r="O182" s="91">
        <f t="shared" ref="O182:Q182" si="57">SUM(O169:O181)</f>
        <v>10735.39194487347</v>
      </c>
      <c r="P182" s="91">
        <f t="shared" si="57"/>
        <v>10735.39194487347</v>
      </c>
      <c r="Q182" s="91">
        <f t="shared" si="57"/>
        <v>17269.840890525407</v>
      </c>
      <c r="R182" s="91"/>
      <c r="S182" s="92">
        <f>SUM(B182:R182)</f>
        <v>177238.00813013359</v>
      </c>
    </row>
    <row r="183" spans="1:19">
      <c r="A183" s="8"/>
      <c r="B183" s="34"/>
      <c r="C183" s="34"/>
      <c r="D183" s="34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2"/>
    </row>
    <row r="186" spans="1:19">
      <c r="A186" s="13" t="s">
        <v>0</v>
      </c>
      <c r="B186" s="77"/>
      <c r="C186" s="77"/>
      <c r="D186" s="7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"/>
    </row>
    <row r="187" spans="1:19">
      <c r="A187" s="16" t="str">
        <f>Title!$F$10</f>
        <v>ARTHUR RIVER MAGNESITE PROJECT</v>
      </c>
      <c r="B187" s="78"/>
      <c r="C187" s="78"/>
      <c r="D187" s="78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</row>
    <row r="188" spans="1:19">
      <c r="A188" s="16" t="str">
        <f>Title!$F$12</f>
        <v>ORDER OF MAGNITUDE COST STUDY: CALCINE PRODUCTION ONLY</v>
      </c>
      <c r="B188" s="78"/>
      <c r="C188" s="78"/>
      <c r="D188" s="78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</row>
    <row r="189" spans="1:19">
      <c r="A189" s="19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 t="str">
        <f>Title!$F$19</f>
        <v>3 October 2011</v>
      </c>
      <c r="S189" s="18"/>
    </row>
    <row r="190" spans="1:19">
      <c r="A190" s="20" t="s">
        <v>583</v>
      </c>
      <c r="B190" s="79"/>
      <c r="C190" s="79"/>
      <c r="D190" s="79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</row>
    <row r="191" spans="1:19">
      <c r="A191" s="38"/>
      <c r="B191" s="41" t="s">
        <v>26</v>
      </c>
      <c r="C191" s="41" t="s">
        <v>26</v>
      </c>
      <c r="D191" s="41" t="s">
        <v>26</v>
      </c>
      <c r="E191" s="41" t="s">
        <v>26</v>
      </c>
      <c r="F191" s="41" t="s">
        <v>26</v>
      </c>
      <c r="G191" s="41" t="s">
        <v>26</v>
      </c>
      <c r="H191" s="41" t="s">
        <v>26</v>
      </c>
      <c r="I191" s="41" t="s">
        <v>26</v>
      </c>
      <c r="J191" s="41" t="s">
        <v>26</v>
      </c>
      <c r="K191" s="41" t="s">
        <v>26</v>
      </c>
      <c r="L191" s="41" t="s">
        <v>26</v>
      </c>
      <c r="M191" s="41" t="s">
        <v>26</v>
      </c>
      <c r="N191" s="41" t="s">
        <v>26</v>
      </c>
      <c r="O191" s="41" t="s">
        <v>26</v>
      </c>
      <c r="P191" s="41" t="s">
        <v>26</v>
      </c>
      <c r="Q191" s="41" t="s">
        <v>26</v>
      </c>
      <c r="R191" s="41"/>
      <c r="S191" s="42" t="s">
        <v>5</v>
      </c>
    </row>
    <row r="192" spans="1:19">
      <c r="A192" s="8"/>
      <c r="B192" s="43">
        <v>-3</v>
      </c>
      <c r="C192" s="43">
        <v>-2</v>
      </c>
      <c r="D192" s="43">
        <v>-1</v>
      </c>
      <c r="E192" s="43">
        <v>1</v>
      </c>
      <c r="F192" s="43">
        <v>2</v>
      </c>
      <c r="G192" s="43">
        <v>3</v>
      </c>
      <c r="H192" s="43">
        <v>4</v>
      </c>
      <c r="I192" s="43">
        <v>5</v>
      </c>
      <c r="J192" s="43">
        <v>6</v>
      </c>
      <c r="K192" s="43">
        <v>7</v>
      </c>
      <c r="L192" s="43">
        <v>8</v>
      </c>
      <c r="M192" s="43">
        <v>9</v>
      </c>
      <c r="N192" s="43">
        <v>10</v>
      </c>
      <c r="O192" s="43">
        <v>11</v>
      </c>
      <c r="P192" s="43">
        <v>12</v>
      </c>
      <c r="Q192" s="43">
        <v>13</v>
      </c>
      <c r="R192" s="43"/>
      <c r="S192" s="44"/>
    </row>
    <row r="193" spans="1:19">
      <c r="A193" s="5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11"/>
    </row>
    <row r="194" spans="1:19">
      <c r="A194" s="39" t="s">
        <v>111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11"/>
    </row>
    <row r="195" spans="1:19">
      <c r="A195" s="5" t="s">
        <v>577</v>
      </c>
      <c r="B195" s="31"/>
      <c r="C195" s="31"/>
      <c r="D195" s="31">
        <f>Physical!D683*Labour!$D51*'Phys Input'!$B$8/1000</f>
        <v>375</v>
      </c>
      <c r="E195" s="31">
        <f>Physical!E683*Labour!$D51*'Phys Input'!$B$8/1000</f>
        <v>375</v>
      </c>
      <c r="F195" s="31">
        <f>Physical!F683*Labour!$D51*'Phys Input'!$B$8/1000</f>
        <v>375</v>
      </c>
      <c r="G195" s="31">
        <f>Physical!G683*Labour!$D51*'Phys Input'!$B$8/1000</f>
        <v>375</v>
      </c>
      <c r="H195" s="31">
        <f>Physical!H683*Labour!$D51*'Phys Input'!$B$8/1000</f>
        <v>375</v>
      </c>
      <c r="I195" s="31">
        <f>Physical!I683*Labour!$D51*'Phys Input'!$B$8/1000</f>
        <v>375</v>
      </c>
      <c r="J195" s="31">
        <f>Physical!J683*Labour!$D51*'Phys Input'!$B$8/1000</f>
        <v>375</v>
      </c>
      <c r="K195" s="31">
        <f>Physical!K683*Labour!$D51*'Phys Input'!$B$8/1000</f>
        <v>375</v>
      </c>
      <c r="L195" s="31">
        <f>Physical!L683*Labour!$D51*'Phys Input'!$B$8/1000</f>
        <v>375</v>
      </c>
      <c r="M195" s="31">
        <f>Physical!M683*Labour!$D51*'Phys Input'!$B$8/1000</f>
        <v>375</v>
      </c>
      <c r="N195" s="31">
        <f>Physical!N683*Labour!$D51*'Phys Input'!$B$8/1000</f>
        <v>375</v>
      </c>
      <c r="O195" s="31">
        <f>Physical!O683*Labour!$D51*'Phys Input'!$B$8/1000</f>
        <v>375</v>
      </c>
      <c r="P195" s="31">
        <f>Physical!P683*Labour!$D51*'Phys Input'!$B$8/1000</f>
        <v>375</v>
      </c>
      <c r="Q195" s="31">
        <f>Physical!Q683*Labour!$D51*'Phys Input'!$B$8/1000</f>
        <v>375</v>
      </c>
      <c r="R195" s="31"/>
      <c r="S195" s="11">
        <f t="shared" ref="S195:S201" si="58">SUM(B195:R195)</f>
        <v>5250</v>
      </c>
    </row>
    <row r="196" spans="1:19">
      <c r="A196" s="5" t="s">
        <v>547</v>
      </c>
      <c r="B196" s="31"/>
      <c r="C196" s="31"/>
      <c r="D196" s="31">
        <f>Physical!D684*Labour!$D52*'Phys Input'!$B$8/1000</f>
        <v>0</v>
      </c>
      <c r="E196" s="31">
        <f>Physical!E684*Labour!$D52*'Phys Input'!$B$8/1000</f>
        <v>118.16666666666667</v>
      </c>
      <c r="F196" s="31">
        <f>Physical!F684*Labour!$D52*'Phys Input'!$B$8/1000</f>
        <v>118.16666666666667</v>
      </c>
      <c r="G196" s="31">
        <f>Physical!G684*Labour!$D52*'Phys Input'!$B$8/1000</f>
        <v>118.16666666666667</v>
      </c>
      <c r="H196" s="31">
        <f>Physical!H684*Labour!$D52*'Phys Input'!$B$8/1000</f>
        <v>118.16666666666667</v>
      </c>
      <c r="I196" s="31">
        <f>Physical!I684*Labour!$D52*'Phys Input'!$B$8/1000</f>
        <v>118.16666666666667</v>
      </c>
      <c r="J196" s="31">
        <f>Physical!J684*Labour!$D52*'Phys Input'!$B$8/1000</f>
        <v>118.16666666666667</v>
      </c>
      <c r="K196" s="31">
        <f>Physical!K684*Labour!$D52*'Phys Input'!$B$8/1000</f>
        <v>118.16666666666667</v>
      </c>
      <c r="L196" s="31">
        <f>Physical!L684*Labour!$D52*'Phys Input'!$B$8/1000</f>
        <v>118.16666666666667</v>
      </c>
      <c r="M196" s="31">
        <f>Physical!M684*Labour!$D52*'Phys Input'!$B$8/1000</f>
        <v>118.16666666666667</v>
      </c>
      <c r="N196" s="31">
        <f>Physical!N684*Labour!$D52*'Phys Input'!$B$8/1000</f>
        <v>118.16666666666667</v>
      </c>
      <c r="O196" s="31">
        <f>Physical!O684*Labour!$D52*'Phys Input'!$B$8/1000</f>
        <v>118.16666666666667</v>
      </c>
      <c r="P196" s="31">
        <f>Physical!P684*Labour!$D52*'Phys Input'!$B$8/1000</f>
        <v>118.16666666666667</v>
      </c>
      <c r="Q196" s="31">
        <f>Physical!Q684*Labour!$D52*'Phys Input'!$B$8/1000</f>
        <v>118.16666666666667</v>
      </c>
      <c r="R196" s="31"/>
      <c r="S196" s="11">
        <f t="shared" si="58"/>
        <v>1536.166666666667</v>
      </c>
    </row>
    <row r="197" spans="1:19">
      <c r="A197" s="6" t="s">
        <v>548</v>
      </c>
      <c r="B197" s="31"/>
      <c r="C197" s="31"/>
      <c r="D197" s="31">
        <f>Physical!D685*Labour!$D53*'Phys Input'!$B$8/1000</f>
        <v>0</v>
      </c>
      <c r="E197" s="31">
        <f>Physical!E685*Labour!$D53*'Phys Input'!$B$8/1000</f>
        <v>0</v>
      </c>
      <c r="F197" s="31">
        <f>Physical!F685*Labour!$D53*'Phys Input'!$B$8/1000</f>
        <v>0</v>
      </c>
      <c r="G197" s="31">
        <f>Physical!G685*Labour!$D53*'Phys Input'!$B$8/1000</f>
        <v>0</v>
      </c>
      <c r="H197" s="31">
        <f>Physical!H685*Labour!$D53*'Phys Input'!$B$8/1000</f>
        <v>0</v>
      </c>
      <c r="I197" s="31">
        <f>Physical!I685*Labour!$D53*'Phys Input'!$B$8/1000</f>
        <v>0</v>
      </c>
      <c r="J197" s="31">
        <f>Physical!J685*Labour!$D53*'Phys Input'!$B$8/1000</f>
        <v>0</v>
      </c>
      <c r="K197" s="31">
        <f>Physical!K685*Labour!$D53*'Phys Input'!$B$8/1000</f>
        <v>0</v>
      </c>
      <c r="L197" s="31">
        <f>Physical!L685*Labour!$D53*'Phys Input'!$B$8/1000</f>
        <v>0</v>
      </c>
      <c r="M197" s="31">
        <f>Physical!M685*Labour!$D53*'Phys Input'!$B$8/1000</f>
        <v>0</v>
      </c>
      <c r="N197" s="31">
        <f>Physical!N685*Labour!$D53*'Phys Input'!$B$8/1000</f>
        <v>0</v>
      </c>
      <c r="O197" s="31">
        <f>Physical!O685*Labour!$D53*'Phys Input'!$B$8/1000</f>
        <v>0</v>
      </c>
      <c r="P197" s="31">
        <f>Physical!P685*Labour!$D53*'Phys Input'!$B$8/1000</f>
        <v>0</v>
      </c>
      <c r="Q197" s="31">
        <f>Physical!Q685*Labour!$D53*'Phys Input'!$B$8/1000</f>
        <v>0</v>
      </c>
      <c r="R197" s="31"/>
      <c r="S197" s="11">
        <f t="shared" si="58"/>
        <v>0</v>
      </c>
    </row>
    <row r="198" spans="1:19">
      <c r="A198" s="5" t="s">
        <v>468</v>
      </c>
      <c r="B198" s="31"/>
      <c r="C198" s="31"/>
      <c r="D198" s="31">
        <f>Physical!D686*Labour!$D54*'Phys Input'!$B$8/1000</f>
        <v>0</v>
      </c>
      <c r="E198" s="31">
        <f>Physical!E686*Labour!$D54*'Phys Input'!$B$8/1000</f>
        <v>76.808333333333323</v>
      </c>
      <c r="F198" s="31">
        <f>Physical!F686*Labour!$D54*'Phys Input'!$B$8/1000</f>
        <v>76.808333333333323</v>
      </c>
      <c r="G198" s="31">
        <f>Physical!G686*Labour!$D54*'Phys Input'!$B$8/1000</f>
        <v>76.808333333333323</v>
      </c>
      <c r="H198" s="31">
        <f>Physical!H686*Labour!$D54*'Phys Input'!$B$8/1000</f>
        <v>76.808333333333323</v>
      </c>
      <c r="I198" s="31">
        <f>Physical!I686*Labour!$D54*'Phys Input'!$B$8/1000</f>
        <v>76.808333333333323</v>
      </c>
      <c r="J198" s="31">
        <f>Physical!J686*Labour!$D54*'Phys Input'!$B$8/1000</f>
        <v>76.808333333333323</v>
      </c>
      <c r="K198" s="31">
        <f>Physical!K686*Labour!$D54*'Phys Input'!$B$8/1000</f>
        <v>76.808333333333323</v>
      </c>
      <c r="L198" s="31">
        <f>Physical!L686*Labour!$D54*'Phys Input'!$B$8/1000</f>
        <v>76.808333333333323</v>
      </c>
      <c r="M198" s="31">
        <f>Physical!M686*Labour!$D54*'Phys Input'!$B$8/1000</f>
        <v>76.808333333333323</v>
      </c>
      <c r="N198" s="31">
        <f>Physical!N686*Labour!$D54*'Phys Input'!$B$8/1000</f>
        <v>76.808333333333323</v>
      </c>
      <c r="O198" s="31">
        <f>Physical!O686*Labour!$D54*'Phys Input'!$B$8/1000</f>
        <v>76.808333333333323</v>
      </c>
      <c r="P198" s="31">
        <f>Physical!P686*Labour!$D54*'Phys Input'!$B$8/1000</f>
        <v>76.808333333333323</v>
      </c>
      <c r="Q198" s="31">
        <f>Physical!Q686*Labour!$D54*'Phys Input'!$B$8/1000</f>
        <v>38.404166666666661</v>
      </c>
      <c r="R198" s="31"/>
      <c r="S198" s="11">
        <f t="shared" si="58"/>
        <v>960.1041666666664</v>
      </c>
    </row>
    <row r="199" spans="1:19">
      <c r="A199" s="5" t="s">
        <v>580</v>
      </c>
      <c r="B199" s="31"/>
      <c r="C199" s="31"/>
      <c r="D199" s="31">
        <f>Physical!D687*Labour!$D55*'Phys Input'!$B$8/1000</f>
        <v>67.5</v>
      </c>
      <c r="E199" s="31">
        <f>Physical!E687*Labour!$D55*'Phys Input'!$B$8/1000</f>
        <v>67.5</v>
      </c>
      <c r="F199" s="31">
        <f>Physical!F687*Labour!$D55*'Phys Input'!$B$8/1000</f>
        <v>67.5</v>
      </c>
      <c r="G199" s="31">
        <f>Physical!G687*Labour!$D55*'Phys Input'!$B$8/1000</f>
        <v>67.5</v>
      </c>
      <c r="H199" s="31">
        <f>Physical!H687*Labour!$D55*'Phys Input'!$B$8/1000</f>
        <v>67.5</v>
      </c>
      <c r="I199" s="31">
        <f>Physical!I687*Labour!$D55*'Phys Input'!$B$8/1000</f>
        <v>67.5</v>
      </c>
      <c r="J199" s="31">
        <f>Physical!J687*Labour!$D55*'Phys Input'!$B$8/1000</f>
        <v>67.5</v>
      </c>
      <c r="K199" s="31">
        <f>Physical!K687*Labour!$D55*'Phys Input'!$B$8/1000</f>
        <v>67.5</v>
      </c>
      <c r="L199" s="31">
        <f>Physical!L687*Labour!$D55*'Phys Input'!$B$8/1000</f>
        <v>67.5</v>
      </c>
      <c r="M199" s="31">
        <f>Physical!M687*Labour!$D55*'Phys Input'!$B$8/1000</f>
        <v>67.5</v>
      </c>
      <c r="N199" s="31">
        <f>Physical!N687*Labour!$D55*'Phys Input'!$B$8/1000</f>
        <v>67.5</v>
      </c>
      <c r="O199" s="31">
        <f>Physical!O687*Labour!$D55*'Phys Input'!$B$8/1000</f>
        <v>67.5</v>
      </c>
      <c r="P199" s="31">
        <f>Physical!P687*Labour!$D55*'Phys Input'!$B$8/1000</f>
        <v>67.5</v>
      </c>
      <c r="Q199" s="31">
        <f>Physical!Q687*Labour!$D55*'Phys Input'!$B$8/1000</f>
        <v>67.5</v>
      </c>
      <c r="R199" s="31"/>
      <c r="S199" s="11">
        <f t="shared" si="58"/>
        <v>945</v>
      </c>
    </row>
    <row r="200" spans="1:19">
      <c r="A200" s="5" t="s">
        <v>549</v>
      </c>
      <c r="B200" s="31"/>
      <c r="C200" s="31"/>
      <c r="D200" s="31">
        <f>Physical!D688*Labour!$D56*'Phys Input'!$B$8/1000</f>
        <v>0</v>
      </c>
      <c r="E200" s="31">
        <f>Physical!E688*Labour!$D56*'Phys Input'!$B$8/1000</f>
        <v>59.083333333333336</v>
      </c>
      <c r="F200" s="31">
        <f>Physical!F688*Labour!$D56*'Phys Input'!$B$8/1000</f>
        <v>59.083333333333336</v>
      </c>
      <c r="G200" s="31">
        <f>Physical!G688*Labour!$D56*'Phys Input'!$B$8/1000</f>
        <v>59.083333333333336</v>
      </c>
      <c r="H200" s="31">
        <f>Physical!H688*Labour!$D56*'Phys Input'!$B$8/1000</f>
        <v>59.083333333333336</v>
      </c>
      <c r="I200" s="31">
        <f>Physical!I688*Labour!$D56*'Phys Input'!$B$8/1000</f>
        <v>59.083333333333336</v>
      </c>
      <c r="J200" s="31">
        <f>Physical!J688*Labour!$D56*'Phys Input'!$B$8/1000</f>
        <v>59.083333333333336</v>
      </c>
      <c r="K200" s="31">
        <f>Physical!K688*Labour!$D56*'Phys Input'!$B$8/1000</f>
        <v>59.083333333333336</v>
      </c>
      <c r="L200" s="31">
        <f>Physical!L688*Labour!$D56*'Phys Input'!$B$8/1000</f>
        <v>59.083333333333336</v>
      </c>
      <c r="M200" s="31">
        <f>Physical!M688*Labour!$D56*'Phys Input'!$B$8/1000</f>
        <v>59.083333333333336</v>
      </c>
      <c r="N200" s="31">
        <f>Physical!N688*Labour!$D56*'Phys Input'!$B$8/1000</f>
        <v>59.083333333333336</v>
      </c>
      <c r="O200" s="31">
        <f>Physical!O688*Labour!$D56*'Phys Input'!$B$8/1000</f>
        <v>59.083333333333336</v>
      </c>
      <c r="P200" s="31">
        <f>Physical!P688*Labour!$D56*'Phys Input'!$B$8/1000</f>
        <v>59.083333333333336</v>
      </c>
      <c r="Q200" s="31">
        <f>Physical!Q688*Labour!$D56*'Phys Input'!$B$8/1000</f>
        <v>29.541666666666668</v>
      </c>
      <c r="R200" s="31"/>
      <c r="S200" s="11">
        <f t="shared" si="58"/>
        <v>738.54166666666674</v>
      </c>
    </row>
    <row r="201" spans="1:19">
      <c r="A201" s="5" t="s">
        <v>80</v>
      </c>
      <c r="B201" s="31"/>
      <c r="C201" s="31"/>
      <c r="D201" s="31">
        <f>SUM(D195:D200)</f>
        <v>442.5</v>
      </c>
      <c r="E201" s="31">
        <f t="shared" ref="E201:Q201" si="59">SUM(E195:E200)</f>
        <v>696.55833333333339</v>
      </c>
      <c r="F201" s="31">
        <f t="shared" si="59"/>
        <v>696.55833333333339</v>
      </c>
      <c r="G201" s="31">
        <f t="shared" si="59"/>
        <v>696.55833333333339</v>
      </c>
      <c r="H201" s="31">
        <f t="shared" si="59"/>
        <v>696.55833333333339</v>
      </c>
      <c r="I201" s="31">
        <f t="shared" si="59"/>
        <v>696.55833333333339</v>
      </c>
      <c r="J201" s="31">
        <f t="shared" si="59"/>
        <v>696.55833333333339</v>
      </c>
      <c r="K201" s="31">
        <f t="shared" si="59"/>
        <v>696.55833333333339</v>
      </c>
      <c r="L201" s="31">
        <f t="shared" si="59"/>
        <v>696.55833333333339</v>
      </c>
      <c r="M201" s="31">
        <f t="shared" si="59"/>
        <v>696.55833333333339</v>
      </c>
      <c r="N201" s="31">
        <f t="shared" si="59"/>
        <v>696.55833333333339</v>
      </c>
      <c r="O201" s="31">
        <f t="shared" si="59"/>
        <v>696.55833333333339</v>
      </c>
      <c r="P201" s="31">
        <f t="shared" si="59"/>
        <v>696.55833333333339</v>
      </c>
      <c r="Q201" s="31">
        <f t="shared" si="59"/>
        <v>628.61249999999995</v>
      </c>
      <c r="R201" s="31"/>
      <c r="S201" s="11">
        <f t="shared" si="58"/>
        <v>9429.8125</v>
      </c>
    </row>
    <row r="202" spans="1:19">
      <c r="A202" s="39" t="s">
        <v>118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11"/>
    </row>
    <row r="203" spans="1:19">
      <c r="A203" s="5" t="s">
        <v>414</v>
      </c>
      <c r="B203" s="31"/>
      <c r="C203" s="31"/>
      <c r="D203" s="31"/>
      <c r="E203" s="31">
        <f>Input!$B269*'Phys Input'!$B$8/1000</f>
        <v>15</v>
      </c>
      <c r="F203" s="31">
        <f>Input!$B269*'Phys Input'!$B$8/1000</f>
        <v>15</v>
      </c>
      <c r="G203" s="31">
        <f>Input!$B269*'Phys Input'!$B$8/1000</f>
        <v>15</v>
      </c>
      <c r="H203" s="31">
        <f>Input!$B269*'Phys Input'!$B$8/1000</f>
        <v>15</v>
      </c>
      <c r="I203" s="31">
        <f>Input!$B269*'Phys Input'!$B$8/1000</f>
        <v>15</v>
      </c>
      <c r="J203" s="31">
        <f>Input!$B269*'Phys Input'!$B$8/1000</f>
        <v>15</v>
      </c>
      <c r="K203" s="31">
        <f>Input!$B269*'Phys Input'!$B$8/1000</f>
        <v>15</v>
      </c>
      <c r="L203" s="31">
        <f>Input!$B269*'Phys Input'!$B$8/1000</f>
        <v>15</v>
      </c>
      <c r="M203" s="31">
        <f>Input!$B269*'Phys Input'!$B$8/1000</f>
        <v>15</v>
      </c>
      <c r="N203" s="31">
        <f>Input!$B269*'Phys Input'!$B$8/1000</f>
        <v>15</v>
      </c>
      <c r="O203" s="31">
        <f>Input!$B269*'Phys Input'!$B$8/1000</f>
        <v>15</v>
      </c>
      <c r="P203" s="31">
        <f>Input!$B269*'Phys Input'!$B$8/1000</f>
        <v>15</v>
      </c>
      <c r="Q203" s="31">
        <f>Input!$B269*'Phys Input'!$B$8/1000</f>
        <v>15</v>
      </c>
      <c r="R203" s="31"/>
      <c r="S203" s="11">
        <f t="shared" ref="S203:S206" si="60">SUM(B203:R203)</f>
        <v>195</v>
      </c>
    </row>
    <row r="204" spans="1:19">
      <c r="A204" s="5" t="s">
        <v>587</v>
      </c>
      <c r="B204" s="31"/>
      <c r="C204" s="31"/>
      <c r="D204" s="31"/>
      <c r="E204" s="31">
        <f>Input!$B270*'Phys Input'!$B$8/1000</f>
        <v>60</v>
      </c>
      <c r="F204" s="31">
        <f>Input!$B270*'Phys Input'!$B$8/1000</f>
        <v>60</v>
      </c>
      <c r="G204" s="31">
        <f>Input!$B270*'Phys Input'!$B$8/1000</f>
        <v>60</v>
      </c>
      <c r="H204" s="31">
        <f>Input!$B270*'Phys Input'!$B$8/1000</f>
        <v>60</v>
      </c>
      <c r="I204" s="31">
        <f>Input!$B270*'Phys Input'!$B$8/1000</f>
        <v>60</v>
      </c>
      <c r="J204" s="31">
        <f>Input!$B270*'Phys Input'!$B$8/1000</f>
        <v>60</v>
      </c>
      <c r="K204" s="31">
        <f>Input!$B270*'Phys Input'!$B$8/1000</f>
        <v>60</v>
      </c>
      <c r="L204" s="31">
        <f>Input!$B270*'Phys Input'!$B$8/1000</f>
        <v>60</v>
      </c>
      <c r="M204" s="31">
        <f>Input!$B270*'Phys Input'!$B$8/1000</f>
        <v>60</v>
      </c>
      <c r="N204" s="31">
        <f>Input!$B270*'Phys Input'!$B$8/1000</f>
        <v>60</v>
      </c>
      <c r="O204" s="31">
        <f>Input!$B270*'Phys Input'!$B$8/1000</f>
        <v>60</v>
      </c>
      <c r="P204" s="31">
        <f>Input!$B270*'Phys Input'!$B$8/1000</f>
        <v>60</v>
      </c>
      <c r="Q204" s="31">
        <f>Input!$B270*'Phys Input'!$B$8/1000</f>
        <v>60</v>
      </c>
      <c r="R204" s="31"/>
      <c r="S204" s="11">
        <f t="shared" si="60"/>
        <v>780</v>
      </c>
    </row>
    <row r="205" spans="1:19">
      <c r="A205" s="5" t="s">
        <v>586</v>
      </c>
      <c r="B205" s="31"/>
      <c r="C205" s="31"/>
      <c r="D205" s="31"/>
      <c r="E205" s="31">
        <f>Input!$B271*'Phys Input'!$B$8/1000</f>
        <v>40</v>
      </c>
      <c r="F205" s="31">
        <f>Input!$B271*'Phys Input'!$B$8/1000</f>
        <v>40</v>
      </c>
      <c r="G205" s="31">
        <f>Input!$B271*'Phys Input'!$B$8/1000</f>
        <v>40</v>
      </c>
      <c r="H205" s="31">
        <f>Input!$B271*'Phys Input'!$B$8/1000</f>
        <v>40</v>
      </c>
      <c r="I205" s="31">
        <f>Input!$B271*'Phys Input'!$B$8/1000</f>
        <v>40</v>
      </c>
      <c r="J205" s="31">
        <f>Input!$B271*'Phys Input'!$B$8/1000</f>
        <v>40</v>
      </c>
      <c r="K205" s="31">
        <f>Input!$B271*'Phys Input'!$B$8/1000</f>
        <v>40</v>
      </c>
      <c r="L205" s="31">
        <f>Input!$B271*'Phys Input'!$B$8/1000</f>
        <v>40</v>
      </c>
      <c r="M205" s="31">
        <f>Input!$B271*'Phys Input'!$B$8/1000</f>
        <v>40</v>
      </c>
      <c r="N205" s="31">
        <f>Input!$B271*'Phys Input'!$B$8/1000</f>
        <v>40</v>
      </c>
      <c r="O205" s="31">
        <f>Input!$B271*'Phys Input'!$B$8/1000</f>
        <v>40</v>
      </c>
      <c r="P205" s="31">
        <f>Input!$B271*'Phys Input'!$B$8/1000</f>
        <v>40</v>
      </c>
      <c r="Q205" s="31">
        <f>Input!$B271*'Phys Input'!$B$8/1000</f>
        <v>40</v>
      </c>
      <c r="R205" s="31"/>
      <c r="S205" s="11">
        <f t="shared" si="60"/>
        <v>520</v>
      </c>
    </row>
    <row r="206" spans="1:19">
      <c r="A206" s="5" t="s">
        <v>503</v>
      </c>
      <c r="B206" s="31"/>
      <c r="C206" s="31"/>
      <c r="D206" s="31"/>
      <c r="E206" s="31">
        <f>Financial!E16*Input!$B$272*'Phys Input'!$B$8</f>
        <v>228.80328453125003</v>
      </c>
      <c r="F206" s="31">
        <f>Financial!F16*Input!$B$272*'Phys Input'!$B$8</f>
        <v>324.99999999999994</v>
      </c>
      <c r="G206" s="31">
        <f>Financial!G16*Input!$B$272*'Phys Input'!$B$8</f>
        <v>324.99999999999994</v>
      </c>
      <c r="H206" s="31">
        <f>Financial!H16*Input!$B$272*'Phys Input'!$B$8</f>
        <v>325</v>
      </c>
      <c r="I206" s="31">
        <f>Financial!I16*Input!$B$272*'Phys Input'!$B$8</f>
        <v>325</v>
      </c>
      <c r="J206" s="31">
        <f>Financial!J16*Input!$B$272*'Phys Input'!$B$8</f>
        <v>325</v>
      </c>
      <c r="K206" s="31">
        <f>Financial!K16*Input!$B$272*'Phys Input'!$B$8</f>
        <v>324.99999999999994</v>
      </c>
      <c r="L206" s="31">
        <f>Financial!L16*Input!$B$272*'Phys Input'!$B$8</f>
        <v>324.99999999999994</v>
      </c>
      <c r="M206" s="31">
        <f>Financial!M16*Input!$B$272*'Phys Input'!$B$8</f>
        <v>325</v>
      </c>
      <c r="N206" s="31">
        <f>Financial!N16*Input!$B$272*'Phys Input'!$B$8</f>
        <v>325</v>
      </c>
      <c r="O206" s="31">
        <f>Financial!O16*Input!$B$272*'Phys Input'!$B$8</f>
        <v>325</v>
      </c>
      <c r="P206" s="31">
        <f>Financial!P16*Input!$B$272*'Phys Input'!$B$8</f>
        <v>325</v>
      </c>
      <c r="Q206" s="31">
        <f>Financial!Q16*Input!$B$272*'Phys Input'!$B$8</f>
        <v>557.70345773089923</v>
      </c>
      <c r="R206" s="31"/>
      <c r="S206" s="11">
        <f t="shared" si="60"/>
        <v>4361.5067422621496</v>
      </c>
    </row>
    <row r="207" spans="1:19">
      <c r="A207" s="5" t="s">
        <v>80</v>
      </c>
      <c r="B207" s="31"/>
      <c r="C207" s="31"/>
      <c r="D207" s="31">
        <f>SUM(D203:D206)</f>
        <v>0</v>
      </c>
      <c r="E207" s="31">
        <f>SUM(E203:E206)</f>
        <v>343.80328453125003</v>
      </c>
      <c r="F207" s="31">
        <f t="shared" ref="F207:Q207" si="61">SUM(F203:F206)</f>
        <v>439.99999999999994</v>
      </c>
      <c r="G207" s="31">
        <f t="shared" si="61"/>
        <v>439.99999999999994</v>
      </c>
      <c r="H207" s="31">
        <f t="shared" si="61"/>
        <v>440</v>
      </c>
      <c r="I207" s="31">
        <f t="shared" si="61"/>
        <v>440</v>
      </c>
      <c r="J207" s="31">
        <f t="shared" si="61"/>
        <v>440</v>
      </c>
      <c r="K207" s="31">
        <f t="shared" si="61"/>
        <v>439.99999999999994</v>
      </c>
      <c r="L207" s="31">
        <f t="shared" si="61"/>
        <v>439.99999999999994</v>
      </c>
      <c r="M207" s="31">
        <f t="shared" si="61"/>
        <v>440</v>
      </c>
      <c r="N207" s="31">
        <f t="shared" si="61"/>
        <v>440</v>
      </c>
      <c r="O207" s="31">
        <f t="shared" si="61"/>
        <v>440</v>
      </c>
      <c r="P207" s="31">
        <f t="shared" si="61"/>
        <v>440</v>
      </c>
      <c r="Q207" s="31">
        <f t="shared" si="61"/>
        <v>672.70345773089923</v>
      </c>
      <c r="R207" s="31"/>
      <c r="S207" s="11">
        <f t="shared" ref="S207:S209" si="62">SUM(B207:R207)</f>
        <v>5856.5067422621496</v>
      </c>
    </row>
    <row r="208" spans="1:19">
      <c r="A208" s="39" t="s">
        <v>559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11"/>
    </row>
    <row r="209" spans="1:19">
      <c r="A209" s="5" t="s">
        <v>80</v>
      </c>
      <c r="B209" s="31"/>
      <c r="C209" s="31"/>
      <c r="D209" s="31">
        <f>Physical!D750*Input!$B$275*'Phys Input'!$B$8/1000</f>
        <v>30</v>
      </c>
      <c r="E209" s="31">
        <f>Physical!E750*Input!$B$275*'Phys Input'!$B$8/1000</f>
        <v>30</v>
      </c>
      <c r="F209" s="31">
        <f>Physical!F750*Input!$B$275*'Phys Input'!$B$8/1000</f>
        <v>30</v>
      </c>
      <c r="G209" s="31">
        <f>Physical!G750*Input!$B$275*'Phys Input'!$B$8/1000</f>
        <v>30</v>
      </c>
      <c r="H209" s="31">
        <f>Physical!H750*Input!$B$275*'Phys Input'!$B$8/1000</f>
        <v>30</v>
      </c>
      <c r="I209" s="31">
        <f>Physical!I750*Input!$B$275*'Phys Input'!$B$8/1000</f>
        <v>30</v>
      </c>
      <c r="J209" s="31">
        <f>Physical!J750*Input!$B$275*'Phys Input'!$B$8/1000</f>
        <v>30</v>
      </c>
      <c r="K209" s="31">
        <f>Physical!K750*Input!$B$275*'Phys Input'!$B$8/1000</f>
        <v>30</v>
      </c>
      <c r="L209" s="31">
        <f>Physical!L750*Input!$B$275*'Phys Input'!$B$8/1000</f>
        <v>30</v>
      </c>
      <c r="M209" s="31">
        <f>Physical!M750*Input!$B$275*'Phys Input'!$B$8/1000</f>
        <v>30</v>
      </c>
      <c r="N209" s="31">
        <f>Physical!N750*Input!$B$275*'Phys Input'!$B$8/1000</f>
        <v>30</v>
      </c>
      <c r="O209" s="31">
        <f>Physical!O750*Input!$B$275*'Phys Input'!$B$8/1000</f>
        <v>30</v>
      </c>
      <c r="P209" s="31">
        <f>Physical!P750*Input!$B$275*'Phys Input'!$B$8/1000</f>
        <v>30</v>
      </c>
      <c r="Q209" s="31">
        <f>Physical!Q750*Input!$B$275*'Phys Input'!$B$8/1000</f>
        <v>30</v>
      </c>
      <c r="R209" s="31"/>
      <c r="S209" s="11">
        <f t="shared" si="62"/>
        <v>420</v>
      </c>
    </row>
    <row r="210" spans="1:19">
      <c r="A210" s="39" t="s">
        <v>5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11"/>
    </row>
    <row r="211" spans="1:19">
      <c r="A211" s="5" t="s">
        <v>334</v>
      </c>
      <c r="B211" s="91">
        <f t="shared" ref="B211:Q211" si="63">B201+B207+B209</f>
        <v>0</v>
      </c>
      <c r="C211" s="91">
        <f t="shared" si="63"/>
        <v>0</v>
      </c>
      <c r="D211" s="91">
        <f t="shared" si="63"/>
        <v>472.5</v>
      </c>
      <c r="E211" s="91">
        <f t="shared" si="63"/>
        <v>1070.3616178645834</v>
      </c>
      <c r="F211" s="91">
        <f t="shared" si="63"/>
        <v>1166.5583333333334</v>
      </c>
      <c r="G211" s="91">
        <f t="shared" si="63"/>
        <v>1166.5583333333334</v>
      </c>
      <c r="H211" s="91">
        <f t="shared" si="63"/>
        <v>1166.5583333333334</v>
      </c>
      <c r="I211" s="91">
        <f t="shared" si="63"/>
        <v>1166.5583333333334</v>
      </c>
      <c r="J211" s="91">
        <f t="shared" si="63"/>
        <v>1166.5583333333334</v>
      </c>
      <c r="K211" s="91">
        <f t="shared" si="63"/>
        <v>1166.5583333333334</v>
      </c>
      <c r="L211" s="91">
        <f t="shared" si="63"/>
        <v>1166.5583333333334</v>
      </c>
      <c r="M211" s="91">
        <f t="shared" si="63"/>
        <v>1166.5583333333334</v>
      </c>
      <c r="N211" s="91">
        <f t="shared" si="63"/>
        <v>1166.5583333333334</v>
      </c>
      <c r="O211" s="91">
        <f t="shared" si="63"/>
        <v>1166.5583333333334</v>
      </c>
      <c r="P211" s="91">
        <f t="shared" si="63"/>
        <v>1166.5583333333334</v>
      </c>
      <c r="Q211" s="91">
        <f t="shared" si="63"/>
        <v>1331.3159577308993</v>
      </c>
      <c r="R211" s="91"/>
      <c r="S211" s="92">
        <f>SUM(B211:R211)</f>
        <v>15706.319242262156</v>
      </c>
    </row>
    <row r="212" spans="1:19">
      <c r="A212" s="5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11"/>
    </row>
    <row r="213" spans="1:19">
      <c r="A213" s="5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11"/>
    </row>
    <row r="214" spans="1:19">
      <c r="A214" s="39" t="s">
        <v>457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11"/>
    </row>
    <row r="215" spans="1:19">
      <c r="A215" s="5" t="s">
        <v>320</v>
      </c>
      <c r="B215" s="31">
        <f>B149</f>
        <v>0</v>
      </c>
      <c r="C215" s="31">
        <f t="shared" ref="C215:Q215" si="64">C149</f>
        <v>0</v>
      </c>
      <c r="D215" s="31">
        <f t="shared" si="64"/>
        <v>8527.4891447490882</v>
      </c>
      <c r="E215" s="31">
        <f t="shared" si="64"/>
        <v>8651.4227200698333</v>
      </c>
      <c r="F215" s="31">
        <f t="shared" si="64"/>
        <v>8497.2124319158429</v>
      </c>
      <c r="G215" s="31">
        <f t="shared" si="64"/>
        <v>8245.0774395706485</v>
      </c>
      <c r="H215" s="31">
        <f t="shared" si="64"/>
        <v>6765.4757976859446</v>
      </c>
      <c r="I215" s="31">
        <f t="shared" si="64"/>
        <v>6557.4895930959301</v>
      </c>
      <c r="J215" s="31">
        <f t="shared" si="64"/>
        <v>6411.691005706567</v>
      </c>
      <c r="K215" s="31">
        <f t="shared" si="64"/>
        <v>6487.3289558980678</v>
      </c>
      <c r="L215" s="31">
        <f t="shared" si="64"/>
        <v>6380.7329377868709</v>
      </c>
      <c r="M215" s="31">
        <f t="shared" si="64"/>
        <v>6239.3390521235569</v>
      </c>
      <c r="N215" s="31">
        <f t="shared" si="64"/>
        <v>6948.4848487938234</v>
      </c>
      <c r="O215" s="31">
        <f t="shared" si="64"/>
        <v>6702.6139502844026</v>
      </c>
      <c r="P215" s="31">
        <f t="shared" si="64"/>
        <v>6794.4555220971451</v>
      </c>
      <c r="Q215" s="31">
        <f t="shared" si="64"/>
        <v>7776.8271464358359</v>
      </c>
      <c r="R215" s="31"/>
      <c r="S215" s="11">
        <f t="shared" ref="S215:S218" si="65">SUM(B215:R215)</f>
        <v>100985.64054621356</v>
      </c>
    </row>
    <row r="216" spans="1:19">
      <c r="A216" s="5" t="s">
        <v>329</v>
      </c>
      <c r="B216" s="31">
        <f>B166</f>
        <v>0</v>
      </c>
      <c r="C216" s="31">
        <f t="shared" ref="C216:Q216" si="66">C166</f>
        <v>0</v>
      </c>
      <c r="D216" s="31">
        <f t="shared" si="66"/>
        <v>0</v>
      </c>
      <c r="E216" s="31">
        <f t="shared" si="66"/>
        <v>3510.7214843820761</v>
      </c>
      <c r="F216" s="31">
        <f t="shared" si="66"/>
        <v>4503.6308754412294</v>
      </c>
      <c r="G216" s="31">
        <f t="shared" si="66"/>
        <v>4503.6308754412294</v>
      </c>
      <c r="H216" s="31">
        <f t="shared" si="66"/>
        <v>4503.6308754412294</v>
      </c>
      <c r="I216" s="31">
        <f t="shared" si="66"/>
        <v>4503.6308754412294</v>
      </c>
      <c r="J216" s="31">
        <f t="shared" si="66"/>
        <v>4503.6308754412294</v>
      </c>
      <c r="K216" s="31">
        <f t="shared" si="66"/>
        <v>4503.6308754412294</v>
      </c>
      <c r="L216" s="31">
        <f t="shared" si="66"/>
        <v>4503.6308754412294</v>
      </c>
      <c r="M216" s="31">
        <f t="shared" si="66"/>
        <v>4503.6308754412294</v>
      </c>
      <c r="N216" s="31">
        <f t="shared" si="66"/>
        <v>4503.6308754412294</v>
      </c>
      <c r="O216" s="31">
        <f t="shared" si="66"/>
        <v>4503.6308754412294</v>
      </c>
      <c r="P216" s="31">
        <f t="shared" si="66"/>
        <v>4503.6308754412294</v>
      </c>
      <c r="Q216" s="31">
        <f t="shared" si="66"/>
        <v>7388.1586639087309</v>
      </c>
      <c r="R216" s="31"/>
      <c r="S216" s="11">
        <f t="shared" si="65"/>
        <v>60438.819778144345</v>
      </c>
    </row>
    <row r="217" spans="1:19">
      <c r="A217" s="5" t="s">
        <v>244</v>
      </c>
      <c r="B217" s="31">
        <f>B182</f>
        <v>0</v>
      </c>
      <c r="C217" s="31">
        <f t="shared" ref="C217:Q217" si="67">C182</f>
        <v>0</v>
      </c>
      <c r="D217" s="31">
        <f t="shared" si="67"/>
        <v>0</v>
      </c>
      <c r="E217" s="31">
        <f t="shared" si="67"/>
        <v>12134.855846000046</v>
      </c>
      <c r="F217" s="31">
        <f t="shared" si="67"/>
        <v>14453.39194487347</v>
      </c>
      <c r="G217" s="31">
        <f t="shared" si="67"/>
        <v>14453.39194487347</v>
      </c>
      <c r="H217" s="31">
        <f t="shared" si="67"/>
        <v>14453.39194487347</v>
      </c>
      <c r="I217" s="31">
        <f t="shared" si="67"/>
        <v>14453.39194487347</v>
      </c>
      <c r="J217" s="31">
        <f t="shared" si="67"/>
        <v>14453.39194487347</v>
      </c>
      <c r="K217" s="31">
        <f t="shared" si="67"/>
        <v>14453.39194487347</v>
      </c>
      <c r="L217" s="31">
        <f t="shared" si="67"/>
        <v>14453.39194487347</v>
      </c>
      <c r="M217" s="31">
        <f t="shared" si="67"/>
        <v>14453.39194487347</v>
      </c>
      <c r="N217" s="31">
        <f t="shared" si="67"/>
        <v>10735.39194487347</v>
      </c>
      <c r="O217" s="31">
        <f t="shared" si="67"/>
        <v>10735.39194487347</v>
      </c>
      <c r="P217" s="31">
        <f t="shared" si="67"/>
        <v>10735.39194487347</v>
      </c>
      <c r="Q217" s="31">
        <f t="shared" si="67"/>
        <v>17269.840890525407</v>
      </c>
      <c r="R217" s="31"/>
      <c r="S217" s="11">
        <f t="shared" si="65"/>
        <v>177238.00813013359</v>
      </c>
    </row>
    <row r="218" spans="1:19">
      <c r="A218" s="5" t="s">
        <v>334</v>
      </c>
      <c r="B218" s="31">
        <f>B211</f>
        <v>0</v>
      </c>
      <c r="C218" s="31">
        <f t="shared" ref="C218:Q218" si="68">C211</f>
        <v>0</v>
      </c>
      <c r="D218" s="31">
        <f t="shared" si="68"/>
        <v>472.5</v>
      </c>
      <c r="E218" s="31">
        <f t="shared" si="68"/>
        <v>1070.3616178645834</v>
      </c>
      <c r="F218" s="31">
        <f t="shared" si="68"/>
        <v>1166.5583333333334</v>
      </c>
      <c r="G218" s="31">
        <f t="shared" si="68"/>
        <v>1166.5583333333334</v>
      </c>
      <c r="H218" s="31">
        <f t="shared" si="68"/>
        <v>1166.5583333333334</v>
      </c>
      <c r="I218" s="31">
        <f t="shared" si="68"/>
        <v>1166.5583333333334</v>
      </c>
      <c r="J218" s="31">
        <f t="shared" si="68"/>
        <v>1166.5583333333334</v>
      </c>
      <c r="K218" s="31">
        <f t="shared" si="68"/>
        <v>1166.5583333333334</v>
      </c>
      <c r="L218" s="31">
        <f t="shared" si="68"/>
        <v>1166.5583333333334</v>
      </c>
      <c r="M218" s="31">
        <f t="shared" si="68"/>
        <v>1166.5583333333334</v>
      </c>
      <c r="N218" s="31">
        <f t="shared" si="68"/>
        <v>1166.5583333333334</v>
      </c>
      <c r="O218" s="31">
        <f t="shared" si="68"/>
        <v>1166.5583333333334</v>
      </c>
      <c r="P218" s="31">
        <f t="shared" si="68"/>
        <v>1166.5583333333334</v>
      </c>
      <c r="Q218" s="31">
        <f t="shared" si="68"/>
        <v>1331.3159577308993</v>
      </c>
      <c r="R218" s="31"/>
      <c r="S218" s="11">
        <f t="shared" si="65"/>
        <v>15706.319242262156</v>
      </c>
    </row>
    <row r="219" spans="1:19">
      <c r="A219" s="39" t="s">
        <v>582</v>
      </c>
      <c r="B219" s="91">
        <f>SUM(B215:B218)</f>
        <v>0</v>
      </c>
      <c r="C219" s="91">
        <f t="shared" ref="C219:Q219" si="69">SUM(C215:C218)</f>
        <v>0</v>
      </c>
      <c r="D219" s="91">
        <f t="shared" si="69"/>
        <v>8999.9891447490882</v>
      </c>
      <c r="E219" s="91">
        <f t="shared" si="69"/>
        <v>25367.361668316538</v>
      </c>
      <c r="F219" s="91">
        <f t="shared" si="69"/>
        <v>28620.793585563879</v>
      </c>
      <c r="G219" s="91">
        <f t="shared" si="69"/>
        <v>28368.658593218683</v>
      </c>
      <c r="H219" s="91">
        <f t="shared" si="69"/>
        <v>26889.05695133398</v>
      </c>
      <c r="I219" s="91">
        <f t="shared" si="69"/>
        <v>26681.070746743964</v>
      </c>
      <c r="J219" s="91">
        <f t="shared" si="69"/>
        <v>26535.272159354601</v>
      </c>
      <c r="K219" s="91">
        <f t="shared" si="69"/>
        <v>26610.910109546101</v>
      </c>
      <c r="L219" s="91">
        <f t="shared" si="69"/>
        <v>26504.314091434906</v>
      </c>
      <c r="M219" s="91">
        <f t="shared" si="69"/>
        <v>26362.920205771592</v>
      </c>
      <c r="N219" s="91">
        <f t="shared" si="69"/>
        <v>23354.066002441858</v>
      </c>
      <c r="O219" s="91">
        <f t="shared" si="69"/>
        <v>23108.195103932438</v>
      </c>
      <c r="P219" s="91">
        <f t="shared" si="69"/>
        <v>23200.036675745177</v>
      </c>
      <c r="Q219" s="91">
        <f t="shared" si="69"/>
        <v>33766.142658600875</v>
      </c>
      <c r="R219" s="91"/>
      <c r="S219" s="92">
        <f>SUM(B219:R219)</f>
        <v>354368.78769675369</v>
      </c>
    </row>
    <row r="220" spans="1:19">
      <c r="A220" s="40" t="s">
        <v>157</v>
      </c>
      <c r="B220" s="127">
        <f>B219</f>
        <v>0</v>
      </c>
      <c r="C220" s="127">
        <f>C219*(1+Input!$D$311)</f>
        <v>0</v>
      </c>
      <c r="D220" s="127">
        <f>D219*(1+Input!$D$311)^2</f>
        <v>9455.6135952020104</v>
      </c>
      <c r="E220" s="127">
        <f>E219*(1+Input!$D$311)^3</f>
        <v>27317.873961594436</v>
      </c>
      <c r="F220" s="127">
        <f>F219*(1+Input!$D$311)^4</f>
        <v>31592.000899662718</v>
      </c>
      <c r="G220" s="127">
        <f>G219*(1+Input!$D$311)^5</f>
        <v>32096.53332105781</v>
      </c>
      <c r="H220" s="127">
        <f>H219*(1+Input!$D$311)^6</f>
        <v>31183.062368413579</v>
      </c>
      <c r="I220" s="127">
        <f>I219*(1+Input!$D$311)^7</f>
        <v>31715.408689268246</v>
      </c>
      <c r="J220" s="127">
        <f>J219*(1+Input!$D$311)^8</f>
        <v>32330.652485171897</v>
      </c>
      <c r="K220" s="127">
        <f>K219*(1+Input!$D$311)^9</f>
        <v>33233.380232418102</v>
      </c>
      <c r="L220" s="127">
        <f>L219*(1+Input!$D$311)^10</f>
        <v>33927.762822971534</v>
      </c>
      <c r="M220" s="127">
        <f>M219*(1+Input!$D$311)^11</f>
        <v>34590.435862672311</v>
      </c>
      <c r="N220" s="127">
        <f>N219*(1+Input!$D$311)^12</f>
        <v>31408.622367394459</v>
      </c>
      <c r="O220" s="127">
        <f>O219*(1+Input!$D$311)^13</f>
        <v>31854.902177376287</v>
      </c>
      <c r="P220" s="127">
        <f>P219*(1+Input!$D$311)^14</f>
        <v>32781.044468459171</v>
      </c>
      <c r="Q220" s="127">
        <f>Q219*(1+Input!$D$311)^15</f>
        <v>48903.442502165279</v>
      </c>
      <c r="R220" s="127"/>
      <c r="S220" s="128">
        <f>SUM(B220:R220)</f>
        <v>442390.73575382773</v>
      </c>
    </row>
    <row r="221" spans="1:19">
      <c r="A221" s="8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2"/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T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2"/>
  <sheetViews>
    <sheetView zoomScale="85" workbookViewId="0"/>
  </sheetViews>
  <sheetFormatPr defaultRowHeight="12.75"/>
  <cols>
    <col min="1" max="1" width="28.5703125" customWidth="1"/>
    <col min="2" max="4" width="9.140625" customWidth="1"/>
    <col min="19" max="19" width="9.28515625" bestFit="1" customWidth="1"/>
  </cols>
  <sheetData>
    <row r="1" spans="1:19">
      <c r="A1" s="13" t="s">
        <v>0</v>
      </c>
      <c r="B1" s="77"/>
      <c r="C1" s="77"/>
      <c r="D1" s="7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>
      <c r="A2" s="16" t="str">
        <f>Title!$F$10</f>
        <v>ARTHUR RIVER MAGNESITE PROJECT</v>
      </c>
      <c r="B2" s="78"/>
      <c r="C2" s="78"/>
      <c r="D2" s="7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</row>
    <row r="3" spans="1:19">
      <c r="A3" s="16" t="str">
        <f>Title!$F$12</f>
        <v>ORDER OF MAGNITUDE COST STUDY: CALCINE PRODUCTION ONLY</v>
      </c>
      <c r="B3" s="78"/>
      <c r="C3" s="78"/>
      <c r="D3" s="7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</row>
    <row r="4" spans="1:19">
      <c r="A4" s="19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 t="str">
        <f>Title!$F$19</f>
        <v>3 October 2011</v>
      </c>
      <c r="S4" s="18"/>
    </row>
    <row r="5" spans="1:19">
      <c r="A5" s="20" t="s">
        <v>156</v>
      </c>
      <c r="B5" s="79"/>
      <c r="C5" s="79"/>
      <c r="D5" s="79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</row>
    <row r="6" spans="1:19">
      <c r="A6" s="38"/>
      <c r="B6" s="41" t="s">
        <v>26</v>
      </c>
      <c r="C6" s="41" t="s">
        <v>26</v>
      </c>
      <c r="D6" s="41" t="s">
        <v>26</v>
      </c>
      <c r="E6" s="41" t="s">
        <v>26</v>
      </c>
      <c r="F6" s="41" t="s">
        <v>26</v>
      </c>
      <c r="G6" s="41" t="s">
        <v>26</v>
      </c>
      <c r="H6" s="41" t="s">
        <v>26</v>
      </c>
      <c r="I6" s="41" t="s">
        <v>26</v>
      </c>
      <c r="J6" s="41" t="s">
        <v>26</v>
      </c>
      <c r="K6" s="41" t="s">
        <v>26</v>
      </c>
      <c r="L6" s="41" t="s">
        <v>26</v>
      </c>
      <c r="M6" s="41" t="s">
        <v>26</v>
      </c>
      <c r="N6" s="41" t="s">
        <v>26</v>
      </c>
      <c r="O6" s="41" t="s">
        <v>26</v>
      </c>
      <c r="P6" s="41" t="s">
        <v>26</v>
      </c>
      <c r="Q6" s="41" t="s">
        <v>26</v>
      </c>
      <c r="R6" s="41"/>
      <c r="S6" s="42" t="s">
        <v>5</v>
      </c>
    </row>
    <row r="7" spans="1:19">
      <c r="A7" s="8"/>
      <c r="B7" s="43">
        <v>-3</v>
      </c>
      <c r="C7" s="43">
        <v>-2</v>
      </c>
      <c r="D7" s="43">
        <v>-1</v>
      </c>
      <c r="E7" s="43">
        <v>1</v>
      </c>
      <c r="F7" s="43">
        <v>2</v>
      </c>
      <c r="G7" s="43">
        <v>3</v>
      </c>
      <c r="H7" s="43">
        <v>4</v>
      </c>
      <c r="I7" s="43">
        <v>5</v>
      </c>
      <c r="J7" s="43">
        <v>6</v>
      </c>
      <c r="K7" s="43">
        <v>7</v>
      </c>
      <c r="L7" s="43">
        <v>8</v>
      </c>
      <c r="M7" s="43">
        <v>9</v>
      </c>
      <c r="N7" s="43">
        <v>10</v>
      </c>
      <c r="O7" s="43">
        <v>11</v>
      </c>
      <c r="P7" s="43">
        <v>12</v>
      </c>
      <c r="Q7" s="43">
        <v>13</v>
      </c>
      <c r="R7" s="43"/>
      <c r="S7" s="44"/>
    </row>
    <row r="8" spans="1:19">
      <c r="A8" s="39" t="s">
        <v>8</v>
      </c>
      <c r="B8" s="113"/>
      <c r="C8" s="113"/>
      <c r="D8" s="113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11"/>
    </row>
    <row r="9" spans="1:19">
      <c r="A9" s="39" t="s">
        <v>323</v>
      </c>
      <c r="B9" s="113"/>
      <c r="C9" s="113"/>
      <c r="D9" s="113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11"/>
    </row>
    <row r="10" spans="1:19">
      <c r="A10" s="5" t="s">
        <v>448</v>
      </c>
      <c r="B10" s="31">
        <f>Physical!B599</f>
        <v>0</v>
      </c>
      <c r="C10" s="31">
        <f>Physical!C599</f>
        <v>0</v>
      </c>
      <c r="D10" s="31">
        <f>Physical!D599</f>
        <v>0</v>
      </c>
      <c r="E10" s="31">
        <f>Physical!E599</f>
        <v>70401.01062500001</v>
      </c>
      <c r="F10" s="31">
        <f>Physical!F599</f>
        <v>99999.999999999985</v>
      </c>
      <c r="G10" s="31">
        <f>Physical!G599</f>
        <v>99999.999999999985</v>
      </c>
      <c r="H10" s="31">
        <f>Physical!H599</f>
        <v>100000</v>
      </c>
      <c r="I10" s="31">
        <f>Physical!I599</f>
        <v>100000</v>
      </c>
      <c r="J10" s="31">
        <f>Physical!J599</f>
        <v>100000</v>
      </c>
      <c r="K10" s="31">
        <f>Physical!K599</f>
        <v>99999.999999999985</v>
      </c>
      <c r="L10" s="31">
        <f>Physical!L599</f>
        <v>99999.999999999985</v>
      </c>
      <c r="M10" s="31">
        <f>Physical!M599</f>
        <v>100000</v>
      </c>
      <c r="N10" s="31">
        <f>Physical!N599</f>
        <v>100000</v>
      </c>
      <c r="O10" s="31">
        <f>Physical!O599</f>
        <v>100000</v>
      </c>
      <c r="P10" s="31">
        <f>Physical!P599</f>
        <v>100000</v>
      </c>
      <c r="Q10" s="31">
        <f>Physical!Q599</f>
        <v>171601.06391719976</v>
      </c>
      <c r="R10" s="31"/>
      <c r="S10" s="11">
        <f>SUM(B10:R10)</f>
        <v>1342002.0745422</v>
      </c>
    </row>
    <row r="11" spans="1:19">
      <c r="A11" s="39" t="s">
        <v>324</v>
      </c>
      <c r="B11" s="113"/>
      <c r="C11" s="113"/>
      <c r="D11" s="113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11"/>
    </row>
    <row r="12" spans="1:19">
      <c r="A12" s="5" t="s">
        <v>325</v>
      </c>
      <c r="B12" s="36">
        <f>Input!$B314</f>
        <v>650</v>
      </c>
      <c r="C12" s="36">
        <f>Input!$B314</f>
        <v>650</v>
      </c>
      <c r="D12" s="36">
        <f>Input!$B314</f>
        <v>650</v>
      </c>
      <c r="E12" s="36">
        <f>Input!$B314</f>
        <v>650</v>
      </c>
      <c r="F12" s="36">
        <f>Input!$B314</f>
        <v>650</v>
      </c>
      <c r="G12" s="36">
        <f>Input!$B314</f>
        <v>650</v>
      </c>
      <c r="H12" s="36">
        <f>Input!$B314</f>
        <v>650</v>
      </c>
      <c r="I12" s="36">
        <f>Input!$B314</f>
        <v>650</v>
      </c>
      <c r="J12" s="36">
        <f>Input!$B314</f>
        <v>650</v>
      </c>
      <c r="K12" s="36">
        <f>Input!$B314</f>
        <v>650</v>
      </c>
      <c r="L12" s="36">
        <f>Input!$B314</f>
        <v>650</v>
      </c>
      <c r="M12" s="36">
        <f>Input!$B314</f>
        <v>650</v>
      </c>
      <c r="N12" s="36">
        <f>Input!$B314</f>
        <v>650</v>
      </c>
      <c r="O12" s="36">
        <f>Input!$B314</f>
        <v>650</v>
      </c>
      <c r="P12" s="36">
        <f>Input!$B314</f>
        <v>650</v>
      </c>
      <c r="Q12" s="36">
        <f>Input!$B314</f>
        <v>650</v>
      </c>
      <c r="R12" s="31"/>
      <c r="S12" s="11"/>
    </row>
    <row r="13" spans="1:19">
      <c r="A13" s="39" t="s">
        <v>22</v>
      </c>
      <c r="B13" s="113"/>
      <c r="C13" s="113"/>
      <c r="D13" s="113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11"/>
    </row>
    <row r="14" spans="1:19">
      <c r="A14" s="5" t="s">
        <v>22</v>
      </c>
      <c r="B14" s="31">
        <f t="shared" ref="B14:D14" si="0">B10*B12/1000</f>
        <v>0</v>
      </c>
      <c r="C14" s="31">
        <f t="shared" si="0"/>
        <v>0</v>
      </c>
      <c r="D14" s="31">
        <f t="shared" si="0"/>
        <v>0</v>
      </c>
      <c r="E14" s="31">
        <f>E10*E12/1000</f>
        <v>45760.656906250006</v>
      </c>
      <c r="F14" s="31">
        <f>F10*F12/1000</f>
        <v>64999.999999999993</v>
      </c>
      <c r="G14" s="31">
        <f>G10*G12/1000</f>
        <v>64999.999999999993</v>
      </c>
      <c r="H14" s="31">
        <f>H10*H12/1000</f>
        <v>65000</v>
      </c>
      <c r="I14" s="31">
        <f>I10*I12/1000</f>
        <v>65000</v>
      </c>
      <c r="J14" s="31">
        <f t="shared" ref="J14:N14" si="1">J10*J12/1000</f>
        <v>65000</v>
      </c>
      <c r="K14" s="31">
        <f t="shared" si="1"/>
        <v>64999.999999999993</v>
      </c>
      <c r="L14" s="31">
        <f t="shared" si="1"/>
        <v>64999.999999999993</v>
      </c>
      <c r="M14" s="31">
        <f t="shared" si="1"/>
        <v>65000</v>
      </c>
      <c r="N14" s="31">
        <f t="shared" si="1"/>
        <v>65000</v>
      </c>
      <c r="O14" s="31">
        <f t="shared" ref="O14:Q14" si="2">O10*O12/1000</f>
        <v>65000</v>
      </c>
      <c r="P14" s="31">
        <f t="shared" si="2"/>
        <v>65000</v>
      </c>
      <c r="Q14" s="31">
        <f t="shared" si="2"/>
        <v>111540.69154617985</v>
      </c>
      <c r="R14" s="31"/>
      <c r="S14" s="11">
        <f t="shared" ref="S14:S15" si="3">SUM(B14:R14)</f>
        <v>872301.34845242975</v>
      </c>
    </row>
    <row r="15" spans="1:19">
      <c r="A15" s="40" t="s">
        <v>157</v>
      </c>
      <c r="B15" s="127">
        <f>B14</f>
        <v>0</v>
      </c>
      <c r="C15" s="127">
        <f>C14*(1+Input!$D$311)</f>
        <v>0</v>
      </c>
      <c r="D15" s="127">
        <f>D14*(1+Input!$D$311)^2</f>
        <v>0</v>
      </c>
      <c r="E15" s="127">
        <f>E14*(1+Input!$D$311)^3</f>
        <v>49279.222416182129</v>
      </c>
      <c r="F15" s="127">
        <f>F14*(1+Input!$D$311)^4</f>
        <v>71747.837890624971</v>
      </c>
      <c r="G15" s="127">
        <f>G14*(1+Input!$D$311)^5</f>
        <v>73541.533837890587</v>
      </c>
      <c r="H15" s="127">
        <f>H14*(1+Input!$D$311)^6</f>
        <v>75380.072183837867</v>
      </c>
      <c r="I15" s="127">
        <f>I14*(1+Input!$D$311)^7</f>
        <v>77264.573988433811</v>
      </c>
      <c r="J15" s="127">
        <f>J14*(1+Input!$D$311)^8</f>
        <v>79196.188338144653</v>
      </c>
      <c r="K15" s="127">
        <f>K14*(1+Input!$D$311)^9</f>
        <v>81176.093046598238</v>
      </c>
      <c r="L15" s="127">
        <f>L14*(1+Input!$D$311)^10</f>
        <v>83205.495372763195</v>
      </c>
      <c r="M15" s="127">
        <f>M14*(1+Input!$D$311)^11</f>
        <v>85285.63275708229</v>
      </c>
      <c r="N15" s="127">
        <f>N14*(1+Input!$D$311)^12</f>
        <v>87417.773576009335</v>
      </c>
      <c r="O15" s="127">
        <f>O14*(1+Input!$D$311)^13</f>
        <v>89603.217915409565</v>
      </c>
      <c r="P15" s="127">
        <f>P14*(1+Input!$D$311)^14</f>
        <v>91843.298363294802</v>
      </c>
      <c r="Q15" s="127">
        <f>Q14*(1+Input!$D$311)^15</f>
        <v>161544.17905626356</v>
      </c>
      <c r="R15" s="127"/>
      <c r="S15" s="128">
        <f t="shared" si="3"/>
        <v>1106485.1187425351</v>
      </c>
    </row>
    <row r="16" spans="1:19">
      <c r="A16" s="5" t="s">
        <v>58</v>
      </c>
      <c r="B16" s="91">
        <f t="shared" ref="B16:D16" si="4">B14</f>
        <v>0</v>
      </c>
      <c r="C16" s="91">
        <f t="shared" si="4"/>
        <v>0</v>
      </c>
      <c r="D16" s="91">
        <f t="shared" si="4"/>
        <v>0</v>
      </c>
      <c r="E16" s="91">
        <f>E14</f>
        <v>45760.656906250006</v>
      </c>
      <c r="F16" s="91">
        <f t="shared" ref="F16:N16" si="5">F14</f>
        <v>64999.999999999993</v>
      </c>
      <c r="G16" s="91">
        <f t="shared" si="5"/>
        <v>64999.999999999993</v>
      </c>
      <c r="H16" s="91">
        <f t="shared" si="5"/>
        <v>65000</v>
      </c>
      <c r="I16" s="91">
        <f t="shared" si="5"/>
        <v>65000</v>
      </c>
      <c r="J16" s="91">
        <f t="shared" si="5"/>
        <v>65000</v>
      </c>
      <c r="K16" s="91">
        <f t="shared" si="5"/>
        <v>64999.999999999993</v>
      </c>
      <c r="L16" s="91">
        <f t="shared" si="5"/>
        <v>64999.999999999993</v>
      </c>
      <c r="M16" s="91">
        <f t="shared" si="5"/>
        <v>65000</v>
      </c>
      <c r="N16" s="91">
        <f t="shared" si="5"/>
        <v>65000</v>
      </c>
      <c r="O16" s="91">
        <f t="shared" ref="O16:Q16" si="6">O14</f>
        <v>65000</v>
      </c>
      <c r="P16" s="91">
        <f t="shared" si="6"/>
        <v>65000</v>
      </c>
      <c r="Q16" s="91">
        <f t="shared" si="6"/>
        <v>111540.69154617985</v>
      </c>
      <c r="R16" s="91"/>
      <c r="S16" s="92">
        <f>SUM(B16:R16)</f>
        <v>872301.34845242975</v>
      </c>
    </row>
    <row r="17" spans="1:19">
      <c r="A17" s="5"/>
      <c r="B17" s="87"/>
      <c r="C17" s="87"/>
      <c r="D17" s="87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11"/>
    </row>
    <row r="18" spans="1:19">
      <c r="A18" s="39" t="s">
        <v>120</v>
      </c>
      <c r="B18" s="87"/>
      <c r="C18" s="87"/>
      <c r="D18" s="87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1"/>
    </row>
    <row r="19" spans="1:19">
      <c r="A19" s="5" t="s">
        <v>446</v>
      </c>
      <c r="B19" s="87">
        <f>Physical!B591*Input!$B288/1000</f>
        <v>0</v>
      </c>
      <c r="C19" s="87">
        <f>Physical!C591*Input!$B288/1000</f>
        <v>0</v>
      </c>
      <c r="D19" s="87">
        <f>Physical!D591*Input!$B288/1000</f>
        <v>0</v>
      </c>
      <c r="E19" s="87">
        <f>Physical!E591*Input!$B288/1000</f>
        <v>971.46610780625019</v>
      </c>
      <c r="F19" s="87">
        <f>Physical!F591*Input!$B288/1000</f>
        <v>1296.9999999999998</v>
      </c>
      <c r="G19" s="87">
        <f>Physical!G591*Input!$B288/1000</f>
        <v>1296.9999999999998</v>
      </c>
      <c r="H19" s="87">
        <f>Physical!H591*Input!$B288/1000</f>
        <v>1297</v>
      </c>
      <c r="I19" s="87">
        <f>Physical!I591*Input!$B288/1000</f>
        <v>1297</v>
      </c>
      <c r="J19" s="87">
        <f>Physical!J591*Input!$B288/1000</f>
        <v>1297</v>
      </c>
      <c r="K19" s="87">
        <f>Physical!K591*Input!$B288/1000</f>
        <v>1296.9999999999998</v>
      </c>
      <c r="L19" s="87">
        <f>Physical!L591*Input!$B288/1000</f>
        <v>1296.9999999999998</v>
      </c>
      <c r="M19" s="87">
        <f>Physical!M591*Input!$B288/1000</f>
        <v>1297</v>
      </c>
      <c r="N19" s="87">
        <f>Physical!N591*Input!$B288/1000</f>
        <v>1297</v>
      </c>
      <c r="O19" s="87">
        <f>Physical!O591*Input!$B288/1000</f>
        <v>1297</v>
      </c>
      <c r="P19" s="87">
        <f>Physical!P591*Input!$B288/1000</f>
        <v>1297</v>
      </c>
      <c r="Q19" s="87">
        <f>Physical!Q591*Input!$B288/1000</f>
        <v>2167.300799006081</v>
      </c>
      <c r="R19" s="87"/>
      <c r="S19" s="11">
        <f t="shared" ref="S19:S21" si="7">SUM(B19:R19)</f>
        <v>17405.766906812329</v>
      </c>
    </row>
    <row r="20" spans="1:19">
      <c r="A20" s="5" t="s">
        <v>445</v>
      </c>
      <c r="B20" s="31">
        <f>Physical!B599*Input!$B295/1000</f>
        <v>0</v>
      </c>
      <c r="C20" s="31">
        <f>Physical!C599*Input!$B295/1000</f>
        <v>0</v>
      </c>
      <c r="D20" s="31">
        <f>Physical!D599*Input!$B295/1000</f>
        <v>0</v>
      </c>
      <c r="E20" s="31">
        <f>Physical!E599*Input!$B295/1000</f>
        <v>844.8121275000002</v>
      </c>
      <c r="F20" s="31">
        <f>Physical!F599*Input!$B295/1000</f>
        <v>1199.9999999999998</v>
      </c>
      <c r="G20" s="31">
        <f>Physical!G599*Input!$B295/1000</f>
        <v>1199.9999999999998</v>
      </c>
      <c r="H20" s="31">
        <f>Physical!H599*Input!$B295/1000</f>
        <v>1200</v>
      </c>
      <c r="I20" s="31">
        <f>Physical!I599*Input!$B295/1000</f>
        <v>1200</v>
      </c>
      <c r="J20" s="31">
        <f>Physical!J599*Input!$B295/1000</f>
        <v>1200</v>
      </c>
      <c r="K20" s="31">
        <f>Physical!K599*Input!$B295/1000</f>
        <v>1199.9999999999998</v>
      </c>
      <c r="L20" s="31">
        <f>Physical!L599*Input!$B295/1000</f>
        <v>1199.9999999999998</v>
      </c>
      <c r="M20" s="31">
        <f>Physical!M599*Input!$B295/1000</f>
        <v>1200</v>
      </c>
      <c r="N20" s="31">
        <f>Physical!N599*Input!$B295/1000</f>
        <v>1200</v>
      </c>
      <c r="O20" s="31">
        <f>Physical!O599*Input!$B295/1000</f>
        <v>1200</v>
      </c>
      <c r="P20" s="31">
        <f>Physical!P599*Input!$B295/1000</f>
        <v>1200</v>
      </c>
      <c r="Q20" s="31">
        <f>Physical!Q599*Input!$B295/1000</f>
        <v>2059.2127670063974</v>
      </c>
      <c r="R20" s="87"/>
      <c r="S20" s="11">
        <f t="shared" si="7"/>
        <v>16104.024894506398</v>
      </c>
    </row>
    <row r="21" spans="1:19">
      <c r="A21" s="6" t="s">
        <v>31</v>
      </c>
      <c r="B21" s="31"/>
      <c r="C21" s="31"/>
      <c r="D21" s="31"/>
      <c r="E21" s="31">
        <f>Input!$B$300*'Phys Input'!$B$8/1000</f>
        <v>1500</v>
      </c>
      <c r="F21" s="31">
        <f>Input!$B$300*'Phys Input'!$B$8/1000</f>
        <v>1500</v>
      </c>
      <c r="G21" s="31">
        <f>Input!$B$300*'Phys Input'!$B$8/1000</f>
        <v>1500</v>
      </c>
      <c r="H21" s="31">
        <f>Input!$B$300*'Phys Input'!$B$8/1000</f>
        <v>1500</v>
      </c>
      <c r="I21" s="31">
        <f>Input!$B$300*'Phys Input'!$B$8/1000</f>
        <v>1500</v>
      </c>
      <c r="J21" s="31">
        <f>Input!$B$300*'Phys Input'!$B$8/1000</f>
        <v>1500</v>
      </c>
      <c r="K21" s="31">
        <f>Input!$B$300*'Phys Input'!$B$8/1000</f>
        <v>1500</v>
      </c>
      <c r="L21" s="31">
        <f>Input!$B$300*'Phys Input'!$B$8/1000</f>
        <v>1500</v>
      </c>
      <c r="M21" s="31">
        <f>Input!$B$300*'Phys Input'!$B$8/1000</f>
        <v>1500</v>
      </c>
      <c r="N21" s="31">
        <f>Input!$B$300*'Phys Input'!$B$8/1000</f>
        <v>1500</v>
      </c>
      <c r="O21" s="31">
        <f>Input!$B$300*'Phys Input'!$B$8/1000</f>
        <v>1500</v>
      </c>
      <c r="P21" s="31">
        <f>Input!$B$300*'Phys Input'!$B$8/1000</f>
        <v>1500</v>
      </c>
      <c r="Q21" s="31">
        <f>Input!$B$300*'Phys Input'!$B$8/1000</f>
        <v>1500</v>
      </c>
      <c r="R21" s="31"/>
      <c r="S21" s="11">
        <f t="shared" si="7"/>
        <v>19500</v>
      </c>
    </row>
    <row r="22" spans="1:19">
      <c r="A22" s="5" t="s">
        <v>5</v>
      </c>
      <c r="B22" s="91">
        <f t="shared" ref="B22:D22" si="8">SUM(B19:B21)</f>
        <v>0</v>
      </c>
      <c r="C22" s="91">
        <f t="shared" si="8"/>
        <v>0</v>
      </c>
      <c r="D22" s="91">
        <f t="shared" si="8"/>
        <v>0</v>
      </c>
      <c r="E22" s="91">
        <f>SUM(E19:E21)</f>
        <v>3316.2782353062503</v>
      </c>
      <c r="F22" s="91">
        <f t="shared" ref="F22:Q22" si="9">SUM(F19:F21)</f>
        <v>3996.9999999999995</v>
      </c>
      <c r="G22" s="91">
        <f t="shared" si="9"/>
        <v>3996.9999999999995</v>
      </c>
      <c r="H22" s="91">
        <f t="shared" si="9"/>
        <v>3997</v>
      </c>
      <c r="I22" s="91">
        <f t="shared" si="9"/>
        <v>3997</v>
      </c>
      <c r="J22" s="91">
        <f t="shared" si="9"/>
        <v>3997</v>
      </c>
      <c r="K22" s="91">
        <f t="shared" si="9"/>
        <v>3996.9999999999995</v>
      </c>
      <c r="L22" s="91">
        <f t="shared" si="9"/>
        <v>3996.9999999999995</v>
      </c>
      <c r="M22" s="91">
        <f t="shared" si="9"/>
        <v>3997</v>
      </c>
      <c r="N22" s="91">
        <f t="shared" si="9"/>
        <v>3997</v>
      </c>
      <c r="O22" s="91">
        <f t="shared" si="9"/>
        <v>3997</v>
      </c>
      <c r="P22" s="91">
        <f t="shared" si="9"/>
        <v>3997</v>
      </c>
      <c r="Q22" s="91">
        <f t="shared" si="9"/>
        <v>5726.5135660124779</v>
      </c>
      <c r="R22" s="91"/>
      <c r="S22" s="92">
        <f>SUM(B22:R22)</f>
        <v>53009.79180131873</v>
      </c>
    </row>
    <row r="23" spans="1:19">
      <c r="A23" s="40" t="s">
        <v>157</v>
      </c>
      <c r="B23" s="127">
        <f>B22</f>
        <v>0</v>
      </c>
      <c r="C23" s="127">
        <f>C22*(1+Input!$D$311)</f>
        <v>0</v>
      </c>
      <c r="D23" s="127">
        <f>D22*(1+Input!$D$311)^2</f>
        <v>0</v>
      </c>
      <c r="E23" s="127">
        <f>E22*(1+Input!$D$311)^3</f>
        <v>3571.2689414928445</v>
      </c>
      <c r="F23" s="127">
        <f>F22*(1+Input!$D$311)^4</f>
        <v>4411.9401238281234</v>
      </c>
      <c r="G23" s="127">
        <f>G22*(1+Input!$D$311)^5</f>
        <v>4522.2386269238259</v>
      </c>
      <c r="H23" s="127">
        <f>H22*(1+Input!$D$311)^6</f>
        <v>4635.2945925969225</v>
      </c>
      <c r="I23" s="127">
        <f>I22*(1+Input!$D$311)^7</f>
        <v>4751.1769574118453</v>
      </c>
      <c r="J23" s="127">
        <f>J22*(1+Input!$D$311)^8</f>
        <v>4869.9563813471414</v>
      </c>
      <c r="K23" s="127">
        <f>K22*(1+Input!$D$311)^9</f>
        <v>4991.7052908808182</v>
      </c>
      <c r="L23" s="127">
        <f>L22*(1+Input!$D$311)^10</f>
        <v>5116.4979231528387</v>
      </c>
      <c r="M23" s="127">
        <f>M22*(1+Input!$D$311)^11</f>
        <v>5244.4103712316601</v>
      </c>
      <c r="N23" s="127">
        <f>N22*(1+Input!$D$311)^12</f>
        <v>5375.5206305124511</v>
      </c>
      <c r="O23" s="127">
        <f>O22*(1+Input!$D$311)^13</f>
        <v>5509.9086462752621</v>
      </c>
      <c r="P23" s="127">
        <f>P22*(1+Input!$D$311)^14</f>
        <v>5647.6563624321434</v>
      </c>
      <c r="Q23" s="127">
        <f>Q22*(1+Input!$D$311)^15</f>
        <v>8293.6990980824285</v>
      </c>
      <c r="R23" s="127"/>
      <c r="S23" s="128">
        <f>SUM(B23:R23)</f>
        <v>66941.273946168309</v>
      </c>
    </row>
    <row r="24" spans="1:19">
      <c r="A24" s="5"/>
      <c r="B24" s="87"/>
      <c r="C24" s="87"/>
      <c r="D24" s="87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11"/>
    </row>
    <row r="25" spans="1:19">
      <c r="A25" s="39" t="s">
        <v>155</v>
      </c>
      <c r="B25" s="87"/>
      <c r="C25" s="87"/>
      <c r="D25" s="87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11"/>
    </row>
    <row r="26" spans="1:19">
      <c r="A26" s="39" t="s">
        <v>328</v>
      </c>
      <c r="B26" s="87"/>
      <c r="C26" s="87"/>
      <c r="D26" s="87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11"/>
    </row>
    <row r="27" spans="1:19">
      <c r="A27" s="5" t="s">
        <v>370</v>
      </c>
      <c r="B27" s="87">
        <f>Physical!B561*Input!$B317/1000</f>
        <v>0</v>
      </c>
      <c r="C27" s="87">
        <f>Physical!C561*Input!$B317/1000</f>
        <v>0</v>
      </c>
      <c r="D27" s="87">
        <f>Physical!D561*Input!$B317/1000</f>
        <v>0</v>
      </c>
      <c r="E27" s="87">
        <f>Physical!E561*Input!$B317/1000</f>
        <v>4653.9657790556694</v>
      </c>
      <c r="F27" s="87">
        <f>Physical!F561*Input!$B317/1000</f>
        <v>5970.2098469059092</v>
      </c>
      <c r="G27" s="87">
        <f>Physical!G561*Input!$B317/1000</f>
        <v>5970.2098469059092</v>
      </c>
      <c r="H27" s="87">
        <f>Physical!H561*Input!$B317/1000</f>
        <v>5970.2098469059092</v>
      </c>
      <c r="I27" s="87">
        <f>Physical!I561*Input!$B317/1000</f>
        <v>5970.2098469059092</v>
      </c>
      <c r="J27" s="87">
        <f>Physical!J561*Input!$B317/1000</f>
        <v>5970.2098469059092</v>
      </c>
      <c r="K27" s="87">
        <f>Physical!K561*Input!$B317/1000</f>
        <v>5970.2098469059092</v>
      </c>
      <c r="L27" s="87">
        <f>Physical!L561*Input!$B317/1000</f>
        <v>5970.2098469059092</v>
      </c>
      <c r="M27" s="87">
        <f>Physical!M561*Input!$B317/1000</f>
        <v>5970.2098469059092</v>
      </c>
      <c r="N27" s="87">
        <f>Physical!N561*Input!$B317/1000</f>
        <v>5970.2098469059092</v>
      </c>
      <c r="O27" s="87">
        <f>Physical!O561*Input!$B317/1000</f>
        <v>5970.2098469059092</v>
      </c>
      <c r="P27" s="87">
        <f>Physical!P561*Input!$B317/1000</f>
        <v>5970.2098469059092</v>
      </c>
      <c r="Q27" s="87">
        <f>Physical!Q561*Input!$B317/1000</f>
        <v>9794.0659049793194</v>
      </c>
      <c r="R27" s="87"/>
      <c r="S27" s="11">
        <f t="shared" ref="S27" si="10">SUM(B27:R27)</f>
        <v>80120.340000000011</v>
      </c>
    </row>
    <row r="28" spans="1:19">
      <c r="A28" s="5" t="s">
        <v>121</v>
      </c>
      <c r="B28" s="87">
        <f>B27*Input!$B318</f>
        <v>0</v>
      </c>
      <c r="C28" s="87">
        <f>C27*Input!$B318</f>
        <v>0</v>
      </c>
      <c r="D28" s="87">
        <f>D27*Input!$B318</f>
        <v>0</v>
      </c>
      <c r="E28" s="87">
        <f>E27*Input!$B318</f>
        <v>186.15863116222678</v>
      </c>
      <c r="F28" s="87">
        <f>F27*Input!$B318</f>
        <v>238.80839387623638</v>
      </c>
      <c r="G28" s="87">
        <f>G27*Input!$B318</f>
        <v>238.80839387623638</v>
      </c>
      <c r="H28" s="87">
        <f>H27*Input!$B318</f>
        <v>238.80839387623638</v>
      </c>
      <c r="I28" s="87">
        <f>I27*Input!$B318</f>
        <v>238.80839387623638</v>
      </c>
      <c r="J28" s="87">
        <f>J27*Input!$B318</f>
        <v>238.80839387623638</v>
      </c>
      <c r="K28" s="87">
        <f>K27*Input!$B318</f>
        <v>238.80839387623638</v>
      </c>
      <c r="L28" s="87">
        <f>L27*Input!$B318</f>
        <v>238.80839387623638</v>
      </c>
      <c r="M28" s="87">
        <f>M27*Input!$B318</f>
        <v>238.80839387623638</v>
      </c>
      <c r="N28" s="87">
        <f>N27*Input!$B318</f>
        <v>238.80839387623638</v>
      </c>
      <c r="O28" s="87">
        <f>O27*Input!$B318</f>
        <v>238.80839387623638</v>
      </c>
      <c r="P28" s="87">
        <f>P27*Input!$B318</f>
        <v>238.80839387623638</v>
      </c>
      <c r="Q28" s="87">
        <f>Q27*Input!$B318</f>
        <v>391.76263619917279</v>
      </c>
      <c r="R28" s="87"/>
      <c r="S28" s="11">
        <f t="shared" ref="S28:S30" si="11">SUM(B28:R28)</f>
        <v>3204.8136</v>
      </c>
    </row>
    <row r="29" spans="1:19">
      <c r="A29" s="39" t="s">
        <v>143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11"/>
    </row>
    <row r="30" spans="1:19">
      <c r="A30" s="5" t="s">
        <v>80</v>
      </c>
      <c r="B30" s="87">
        <f>B27*Input!$B319</f>
        <v>0</v>
      </c>
      <c r="C30" s="87">
        <f>C27*Input!$B319</f>
        <v>0</v>
      </c>
      <c r="D30" s="87">
        <f>D27*Input!$B319</f>
        <v>0</v>
      </c>
      <c r="E30" s="87">
        <f>E27*Input!$B319</f>
        <v>0</v>
      </c>
      <c r="F30" s="87">
        <f>F27*Input!$B319</f>
        <v>0</v>
      </c>
      <c r="G30" s="87">
        <f>G27*Input!$B319</f>
        <v>0</v>
      </c>
      <c r="H30" s="87">
        <f>H27*Input!$B319</f>
        <v>0</v>
      </c>
      <c r="I30" s="87">
        <f>I27*Input!$B319</f>
        <v>0</v>
      </c>
      <c r="J30" s="87">
        <f>J27*Input!$B319</f>
        <v>0</v>
      </c>
      <c r="K30" s="87">
        <f>K27*Input!$B319</f>
        <v>0</v>
      </c>
      <c r="L30" s="87">
        <f>L27*Input!$B319</f>
        <v>0</v>
      </c>
      <c r="M30" s="87">
        <f>M27*Input!$B319</f>
        <v>0</v>
      </c>
      <c r="N30" s="87">
        <f>N27*Input!$B319</f>
        <v>0</v>
      </c>
      <c r="O30" s="87">
        <f>O27*Input!$B319</f>
        <v>0</v>
      </c>
      <c r="P30" s="87">
        <f>P27*Input!$B319</f>
        <v>0</v>
      </c>
      <c r="Q30" s="87">
        <f>Q27*Input!$B319</f>
        <v>0</v>
      </c>
      <c r="R30" s="87"/>
      <c r="S30" s="11">
        <f t="shared" si="11"/>
        <v>0</v>
      </c>
    </row>
    <row r="31" spans="1:19">
      <c r="A31" s="39" t="s">
        <v>5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11"/>
    </row>
    <row r="32" spans="1:19">
      <c r="A32" s="5" t="s">
        <v>371</v>
      </c>
      <c r="B32" s="91">
        <f>B28+B30</f>
        <v>0</v>
      </c>
      <c r="C32" s="91">
        <f t="shared" ref="C32:Q32" si="12">C28+C30</f>
        <v>0</v>
      </c>
      <c r="D32" s="91">
        <f t="shared" si="12"/>
        <v>0</v>
      </c>
      <c r="E32" s="91">
        <f t="shared" si="12"/>
        <v>186.15863116222678</v>
      </c>
      <c r="F32" s="91">
        <f t="shared" si="12"/>
        <v>238.80839387623638</v>
      </c>
      <c r="G32" s="91">
        <f t="shared" si="12"/>
        <v>238.80839387623638</v>
      </c>
      <c r="H32" s="91">
        <f t="shared" si="12"/>
        <v>238.80839387623638</v>
      </c>
      <c r="I32" s="91">
        <f t="shared" si="12"/>
        <v>238.80839387623638</v>
      </c>
      <c r="J32" s="91">
        <f t="shared" si="12"/>
        <v>238.80839387623638</v>
      </c>
      <c r="K32" s="91">
        <f t="shared" si="12"/>
        <v>238.80839387623638</v>
      </c>
      <c r="L32" s="91">
        <f t="shared" si="12"/>
        <v>238.80839387623638</v>
      </c>
      <c r="M32" s="91">
        <f t="shared" si="12"/>
        <v>238.80839387623638</v>
      </c>
      <c r="N32" s="91">
        <f t="shared" si="12"/>
        <v>238.80839387623638</v>
      </c>
      <c r="O32" s="91">
        <f t="shared" si="12"/>
        <v>238.80839387623638</v>
      </c>
      <c r="P32" s="91">
        <f t="shared" si="12"/>
        <v>238.80839387623638</v>
      </c>
      <c r="Q32" s="91">
        <f t="shared" si="12"/>
        <v>391.76263619917279</v>
      </c>
      <c r="R32" s="91"/>
      <c r="S32" s="92">
        <f>SUM(B32:R32)</f>
        <v>3204.8136</v>
      </c>
    </row>
    <row r="33" spans="1:19">
      <c r="A33" s="40" t="s">
        <v>157</v>
      </c>
      <c r="B33" s="127">
        <f>B32</f>
        <v>0</v>
      </c>
      <c r="C33" s="127">
        <f>C32*(1+Input!$D$311)</f>
        <v>0</v>
      </c>
      <c r="D33" s="127">
        <f>D32*(1+Input!$D$311)^2</f>
        <v>0</v>
      </c>
      <c r="E33" s="127">
        <f>E32*(1+Input!$D$311)^3</f>
        <v>200.47248466143486</v>
      </c>
      <c r="F33" s="127">
        <f>F32*(1+Input!$D$311)^4</f>
        <v>263.59978355004199</v>
      </c>
      <c r="G33" s="127">
        <f>G32*(1+Input!$D$311)^5</f>
        <v>270.18977813879297</v>
      </c>
      <c r="H33" s="127">
        <f>H32*(1+Input!$D$311)^6</f>
        <v>276.94452259226279</v>
      </c>
      <c r="I33" s="127">
        <f>I32*(1+Input!$D$311)^7</f>
        <v>283.86813565706939</v>
      </c>
      <c r="J33" s="127">
        <f>J32*(1+Input!$D$311)^8</f>
        <v>290.96483904849612</v>
      </c>
      <c r="K33" s="127">
        <f>K32*(1+Input!$D$311)^9</f>
        <v>298.23896002470843</v>
      </c>
      <c r="L33" s="127">
        <f>L32*(1+Input!$D$311)^10</f>
        <v>305.69493402532618</v>
      </c>
      <c r="M33" s="127">
        <f>M32*(1+Input!$D$311)^11</f>
        <v>313.33730737595931</v>
      </c>
      <c r="N33" s="127">
        <f>N32*(1+Input!$D$311)^12</f>
        <v>321.17074006035824</v>
      </c>
      <c r="O33" s="127">
        <f>O32*(1+Input!$D$311)^13</f>
        <v>329.20000856186721</v>
      </c>
      <c r="P33" s="127">
        <f>P32*(1+Input!$D$311)^14</f>
        <v>337.43000877591385</v>
      </c>
      <c r="Q33" s="127">
        <f>Q32*(1+Input!$D$311)^15</f>
        <v>567.38910770972825</v>
      </c>
      <c r="R33" s="127"/>
      <c r="S33" s="128">
        <f t="shared" ref="S33" si="13">SUM(B33:R33)</f>
        <v>4058.5006101819595</v>
      </c>
    </row>
    <row r="34" spans="1:19">
      <c r="A34" s="8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2"/>
    </row>
    <row r="36" spans="1:19">
      <c r="A36" s="4"/>
      <c r="B36" s="4"/>
    </row>
    <row r="37" spans="1:19">
      <c r="A37" s="13" t="s">
        <v>0</v>
      </c>
      <c r="B37" s="77"/>
      <c r="C37" s="77"/>
      <c r="D37" s="77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</row>
    <row r="38" spans="1:19">
      <c r="A38" s="16" t="str">
        <f>Title!$F$10</f>
        <v>ARTHUR RIVER MAGNESITE PROJECT</v>
      </c>
      <c r="B38" s="78"/>
      <c r="C38" s="78"/>
      <c r="D38" s="78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</row>
    <row r="39" spans="1:19">
      <c r="A39" s="16" t="str">
        <f>Title!$F$12</f>
        <v>ORDER OF MAGNITUDE COST STUDY: CALCINE PRODUCTION ONLY</v>
      </c>
      <c r="B39" s="78"/>
      <c r="C39" s="78"/>
      <c r="D39" s="78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</row>
    <row r="40" spans="1:19">
      <c r="A40" s="1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 t="str">
        <f>Title!$F$19</f>
        <v>3 October 2011</v>
      </c>
      <c r="S40" s="18"/>
    </row>
    <row r="41" spans="1:19">
      <c r="A41" s="20" t="s">
        <v>142</v>
      </c>
      <c r="B41" s="79"/>
      <c r="C41" s="79"/>
      <c r="D41" s="79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2"/>
    </row>
    <row r="42" spans="1:19">
      <c r="A42" s="38"/>
      <c r="B42" s="41" t="s">
        <v>26</v>
      </c>
      <c r="C42" s="41" t="s">
        <v>26</v>
      </c>
      <c r="D42" s="41" t="s">
        <v>26</v>
      </c>
      <c r="E42" s="41" t="s">
        <v>26</v>
      </c>
      <c r="F42" s="41" t="s">
        <v>26</v>
      </c>
      <c r="G42" s="41" t="s">
        <v>26</v>
      </c>
      <c r="H42" s="41" t="s">
        <v>26</v>
      </c>
      <c r="I42" s="41" t="s">
        <v>26</v>
      </c>
      <c r="J42" s="41" t="s">
        <v>26</v>
      </c>
      <c r="K42" s="41" t="s">
        <v>26</v>
      </c>
      <c r="L42" s="41" t="s">
        <v>26</v>
      </c>
      <c r="M42" s="41" t="s">
        <v>26</v>
      </c>
      <c r="N42" s="41" t="s">
        <v>26</v>
      </c>
      <c r="O42" s="41" t="s">
        <v>26</v>
      </c>
      <c r="P42" s="41" t="s">
        <v>26</v>
      </c>
      <c r="Q42" s="41" t="s">
        <v>26</v>
      </c>
      <c r="R42" s="41"/>
      <c r="S42" s="42" t="s">
        <v>5</v>
      </c>
    </row>
    <row r="43" spans="1:19">
      <c r="A43" s="8"/>
      <c r="B43" s="43">
        <v>-3</v>
      </c>
      <c r="C43" s="43">
        <v>-2</v>
      </c>
      <c r="D43" s="43">
        <v>-1</v>
      </c>
      <c r="E43" s="43">
        <v>1</v>
      </c>
      <c r="F43" s="43">
        <v>2</v>
      </c>
      <c r="G43" s="43">
        <v>3</v>
      </c>
      <c r="H43" s="43">
        <v>4</v>
      </c>
      <c r="I43" s="43">
        <v>5</v>
      </c>
      <c r="J43" s="43">
        <v>6</v>
      </c>
      <c r="K43" s="43">
        <v>7</v>
      </c>
      <c r="L43" s="43">
        <v>8</v>
      </c>
      <c r="M43" s="43">
        <v>9</v>
      </c>
      <c r="N43" s="43">
        <v>10</v>
      </c>
      <c r="O43" s="43">
        <v>11</v>
      </c>
      <c r="P43" s="43">
        <v>12</v>
      </c>
      <c r="Q43" s="43">
        <v>13</v>
      </c>
      <c r="R43" s="43"/>
      <c r="S43" s="44"/>
    </row>
    <row r="44" spans="1:19">
      <c r="A44" s="6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6"/>
    </row>
    <row r="45" spans="1:19">
      <c r="A45" s="39" t="s">
        <v>450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6"/>
    </row>
    <row r="46" spans="1:19">
      <c r="A46" s="39" t="s">
        <v>57</v>
      </c>
      <c r="B46" s="36">
        <f>IF(Physical!B$574=0,0,1000*B14/Physical!B$574)</f>
        <v>0</v>
      </c>
      <c r="C46" s="36">
        <f>IF(Physical!C$574=0,0,1000*C14/Physical!C$574)</f>
        <v>0</v>
      </c>
      <c r="D46" s="36">
        <f>IF(Physical!D$574=0,0,1000*D14/Physical!D$574)</f>
        <v>0</v>
      </c>
      <c r="E46" s="36">
        <f>IF(Physical!E$574=0,0,1000*E14/Physical!E$574)</f>
        <v>250.43068098164301</v>
      </c>
      <c r="F46" s="36">
        <f>IF(Physical!F$574=0,0,1000*F14/Physical!F$574)</f>
        <v>273.55249999999995</v>
      </c>
      <c r="G46" s="36">
        <f>IF(Physical!G$574=0,0,1000*G14/Physical!G$574)</f>
        <v>273.55249999999995</v>
      </c>
      <c r="H46" s="36">
        <f>IF(Physical!H$574=0,0,1000*H14/Physical!H$574)</f>
        <v>273.55249999999995</v>
      </c>
      <c r="I46" s="36">
        <f>IF(Physical!I$574=0,0,1000*I14/Physical!I$574)</f>
        <v>273.55249999999995</v>
      </c>
      <c r="J46" s="36">
        <f>IF(Physical!J$574=0,0,1000*J14/Physical!J$574)</f>
        <v>273.55249999999995</v>
      </c>
      <c r="K46" s="36">
        <f>IF(Physical!K$574=0,0,1000*K14/Physical!K$574)</f>
        <v>273.55249999999995</v>
      </c>
      <c r="L46" s="36">
        <f>IF(Physical!L$574=0,0,1000*L14/Physical!L$574)</f>
        <v>273.55249999999995</v>
      </c>
      <c r="M46" s="36">
        <f>IF(Physical!M$574=0,0,1000*M14/Physical!M$574)</f>
        <v>273.55249999999995</v>
      </c>
      <c r="N46" s="36">
        <f>IF(Physical!N$574=0,0,1000*N14/Physical!N$574)</f>
        <v>273.55249999999995</v>
      </c>
      <c r="O46" s="36">
        <f>IF(Physical!O$574=0,0,1000*O14/Physical!O$574)</f>
        <v>273.55249999999995</v>
      </c>
      <c r="P46" s="36">
        <f>IF(Physical!P$574=0,0,1000*P14/Physical!P$574)</f>
        <v>273.55249999999995</v>
      </c>
      <c r="Q46" s="36">
        <f>IF(Physical!Q$574=0,0,1000*Q14/Physical!Q$574)</f>
        <v>284.32221406369456</v>
      </c>
      <c r="R46" s="36"/>
      <c r="S46" s="109">
        <f>IF(Physical!S$574=0,0,1000*S14/Physical!S$574)</f>
        <v>273.55250000000001</v>
      </c>
    </row>
    <row r="47" spans="1:19">
      <c r="A47" s="39" t="s">
        <v>59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10"/>
    </row>
    <row r="48" spans="1:19">
      <c r="A48" s="5" t="s">
        <v>451</v>
      </c>
      <c r="B48" s="36">
        <f>IF(Physical!B$574=0,0,1000*Costs!B149/Physical!B$574)</f>
        <v>0</v>
      </c>
      <c r="C48" s="36">
        <f>IF(Physical!C$574=0,0,1000*Costs!C149/Physical!C$574)</f>
        <v>0</v>
      </c>
      <c r="D48" s="36">
        <f>IF(Physical!D$574=0,0,1000*Costs!D149/Physical!D$574)</f>
        <v>0</v>
      </c>
      <c r="E48" s="36">
        <f>IF(Physical!E$574=0,0,1000*Costs!E149/Physical!E$574)</f>
        <v>47.345948020060739</v>
      </c>
      <c r="F48" s="36">
        <f>IF(Physical!F$574=0,0,1000*Costs!F149/Physical!F$574)</f>
        <v>35.760518519717813</v>
      </c>
      <c r="G48" s="36">
        <f>IF(Physical!G$574=0,0,1000*Costs!G149/Physical!G$574)</f>
        <v>34.699408404433072</v>
      </c>
      <c r="H48" s="36">
        <f>IF(Physical!H$574=0,0,1000*Costs!H149/Physical!H$574)</f>
        <v>28.472504894561293</v>
      </c>
      <c r="I48" s="36">
        <f>IF(Physical!I$574=0,0,1000*Costs!I149/Physical!I$574)</f>
        <v>27.597194952544218</v>
      </c>
      <c r="J48" s="36">
        <f>IF(Physical!J$574=0,0,1000*Costs!J149/Physical!J$574)</f>
        <v>26.983601597516085</v>
      </c>
      <c r="K48" s="36">
        <f>IF(Physical!K$574=0,0,1000*Costs!K149/Physical!K$574)</f>
        <v>27.301923910897013</v>
      </c>
      <c r="L48" s="36">
        <f>IF(Physical!L$574=0,0,1000*Costs!L149/Physical!L$574)</f>
        <v>26.853314568676041</v>
      </c>
      <c r="M48" s="36">
        <f>IF(Physical!M$574=0,0,1000*Costs!M149/Physical!M$574)</f>
        <v>26.258258400861983</v>
      </c>
      <c r="N48" s="36">
        <f>IF(Physical!N$574=0,0,1000*Costs!N149/Physical!N$574)</f>
        <v>29.2426984861488</v>
      </c>
      <c r="O48" s="36">
        <f>IF(Physical!O$574=0,0,1000*Costs!O149/Physical!O$574)</f>
        <v>28.207950809771905</v>
      </c>
      <c r="P48" s="36">
        <f>IF(Physical!P$574=0,0,1000*Costs!P149/Physical!P$574)</f>
        <v>28.594466064745831</v>
      </c>
      <c r="Q48" s="36">
        <f>IF(Physical!Q$574=0,0,1000*Costs!Q149/Physical!Q$574)</f>
        <v>19.823480399974347</v>
      </c>
      <c r="R48" s="36"/>
      <c r="S48" s="109">
        <f>IF(Physical!S$574=0,0,1000*Costs!S149/Physical!S$574)</f>
        <v>31.668957619437386</v>
      </c>
    </row>
    <row r="49" spans="1:19">
      <c r="A49" s="5" t="s">
        <v>329</v>
      </c>
      <c r="B49" s="36">
        <f>IF(Physical!B$574=0,0,1000*Costs!B166/Physical!B$574)</f>
        <v>0</v>
      </c>
      <c r="C49" s="36">
        <f>IF(Physical!C$574=0,0,1000*Costs!C166/Physical!C$574)</f>
        <v>0</v>
      </c>
      <c r="D49" s="36">
        <f>IF(Physical!D$574=0,0,1000*Costs!D166/Physical!D$574)</f>
        <v>0</v>
      </c>
      <c r="E49" s="36">
        <f>IF(Physical!E$574=0,0,1000*Costs!E166/Physical!E$574)</f>
        <v>19.212844209642618</v>
      </c>
      <c r="F49" s="36">
        <f>IF(Physical!F$574=0,0,1000*Costs!F166/Physical!F$574)</f>
        <v>18.953530539294409</v>
      </c>
      <c r="G49" s="36">
        <f>IF(Physical!G$574=0,0,1000*Costs!G166/Physical!G$574)</f>
        <v>18.953530539294409</v>
      </c>
      <c r="H49" s="36">
        <f>IF(Physical!H$574=0,0,1000*Costs!H166/Physical!H$574)</f>
        <v>18.953530539294409</v>
      </c>
      <c r="I49" s="36">
        <f>IF(Physical!I$574=0,0,1000*Costs!I166/Physical!I$574)</f>
        <v>18.953530539294409</v>
      </c>
      <c r="J49" s="36">
        <f>IF(Physical!J$574=0,0,1000*Costs!J166/Physical!J$574)</f>
        <v>18.953530539294409</v>
      </c>
      <c r="K49" s="36">
        <f>IF(Physical!K$574=0,0,1000*Costs!K166/Physical!K$574)</f>
        <v>18.953530539294409</v>
      </c>
      <c r="L49" s="36">
        <f>IF(Physical!L$574=0,0,1000*Costs!L166/Physical!L$574)</f>
        <v>18.953530539294409</v>
      </c>
      <c r="M49" s="36">
        <f>IF(Physical!M$574=0,0,1000*Costs!M166/Physical!M$574)</f>
        <v>18.953530539294409</v>
      </c>
      <c r="N49" s="36">
        <f>IF(Physical!N$574=0,0,1000*Costs!N166/Physical!N$574)</f>
        <v>18.953530539294409</v>
      </c>
      <c r="O49" s="36">
        <f>IF(Physical!O$574=0,0,1000*Costs!O166/Physical!O$574)</f>
        <v>18.953530539294409</v>
      </c>
      <c r="P49" s="36">
        <f>IF(Physical!P$574=0,0,1000*Costs!P166/Physical!P$574)</f>
        <v>18.953530539294409</v>
      </c>
      <c r="Q49" s="36">
        <f>IF(Physical!Q$574=0,0,1000*Costs!Q166/Physical!Q$574)</f>
        <v>18.832747045563227</v>
      </c>
      <c r="R49" s="36"/>
      <c r="S49" s="109">
        <f>IF(Physical!S$574=0,0,1000*Costs!S166/Physical!S$574)</f>
        <v>18.95353053929442</v>
      </c>
    </row>
    <row r="50" spans="1:19">
      <c r="A50" s="6" t="s">
        <v>6</v>
      </c>
      <c r="B50" s="36">
        <f>IF(Physical!B$574=0,0,1000*Costs!B182/Physical!B$574)</f>
        <v>0</v>
      </c>
      <c r="C50" s="36">
        <f>IF(Physical!C$574=0,0,1000*Costs!C182/Physical!C$574)</f>
        <v>0</v>
      </c>
      <c r="D50" s="36">
        <f>IF(Physical!D$574=0,0,1000*Costs!D182/Physical!D$574)</f>
        <v>0</v>
      </c>
      <c r="E50" s="36">
        <f>IF(Physical!E$574=0,0,1000*Costs!E182/Physical!E$574)</f>
        <v>66.409453416583347</v>
      </c>
      <c r="F50" s="36">
        <f>IF(Physical!F$574=0,0,1000*Costs!F182/Physical!F$574)</f>
        <v>60.827099999999994</v>
      </c>
      <c r="G50" s="36">
        <f>IF(Physical!G$574=0,0,1000*Costs!G182/Physical!G$574)</f>
        <v>60.827099999999994</v>
      </c>
      <c r="H50" s="36">
        <f>IF(Physical!H$574=0,0,1000*Costs!H182/Physical!H$574)</f>
        <v>60.827099999999994</v>
      </c>
      <c r="I50" s="36">
        <f>IF(Physical!I$574=0,0,1000*Costs!I182/Physical!I$574)</f>
        <v>60.827099999999994</v>
      </c>
      <c r="J50" s="36">
        <f>IF(Physical!J$574=0,0,1000*Costs!J182/Physical!J$574)</f>
        <v>60.827099999999994</v>
      </c>
      <c r="K50" s="36">
        <f>IF(Physical!K$574=0,0,1000*Costs!K182/Physical!K$574)</f>
        <v>60.827099999999994</v>
      </c>
      <c r="L50" s="36">
        <f>IF(Physical!L$574=0,0,1000*Costs!L182/Physical!L$574)</f>
        <v>60.827099999999994</v>
      </c>
      <c r="M50" s="36">
        <f>IF(Physical!M$574=0,0,1000*Costs!M182/Physical!M$574)</f>
        <v>60.827099999999994</v>
      </c>
      <c r="N50" s="36">
        <f>IF(Physical!N$574=0,0,1000*Costs!N182/Physical!N$574)</f>
        <v>45.179896999999997</v>
      </c>
      <c r="O50" s="36">
        <f>IF(Physical!O$574=0,0,1000*Costs!O182/Physical!O$574)</f>
        <v>45.179896999999997</v>
      </c>
      <c r="P50" s="36">
        <f>IF(Physical!P$574=0,0,1000*Costs!P182/Physical!P$574)</f>
        <v>45.179896999999997</v>
      </c>
      <c r="Q50" s="36">
        <f>IF(Physical!Q$574=0,0,1000*Costs!Q182/Physical!Q$574)</f>
        <v>44.021597234664803</v>
      </c>
      <c r="R50" s="36"/>
      <c r="S50" s="109">
        <f>IF(Physical!S$574=0,0,1000*Costs!S182/Physical!S$574)</f>
        <v>55.581594944264147</v>
      </c>
    </row>
    <row r="51" spans="1:19">
      <c r="A51" s="5" t="s">
        <v>30</v>
      </c>
      <c r="B51" s="36">
        <f>IF(Physical!B$574=0,0,1000*Costs!B211/Physical!B$574)</f>
        <v>0</v>
      </c>
      <c r="C51" s="36">
        <f>IF(Physical!C$574=0,0,1000*Costs!C211/Physical!C$574)</f>
        <v>0</v>
      </c>
      <c r="D51" s="36">
        <f>IF(Physical!D$574=0,0,1000*Costs!D211/Physical!D$574)</f>
        <v>0</v>
      </c>
      <c r="E51" s="36">
        <f>IF(Physical!E$574=0,0,1000*Costs!E211/Physical!E$574)</f>
        <v>5.8576822751386288</v>
      </c>
      <c r="F51" s="36">
        <f>IF(Physical!F$574=0,0,1000*Costs!F211/Physical!F$574)</f>
        <v>4.909460745833333</v>
      </c>
      <c r="G51" s="36">
        <f>IF(Physical!G$574=0,0,1000*Costs!G211/Physical!G$574)</f>
        <v>4.909460745833333</v>
      </c>
      <c r="H51" s="36">
        <f>IF(Physical!H$574=0,0,1000*Costs!H211/Physical!H$574)</f>
        <v>4.909460745833333</v>
      </c>
      <c r="I51" s="36">
        <f>IF(Physical!I$574=0,0,1000*Costs!I211/Physical!I$574)</f>
        <v>4.909460745833333</v>
      </c>
      <c r="J51" s="36">
        <f>IF(Physical!J$574=0,0,1000*Costs!J211/Physical!J$574)</f>
        <v>4.909460745833333</v>
      </c>
      <c r="K51" s="36">
        <f>IF(Physical!K$574=0,0,1000*Costs!K211/Physical!K$574)</f>
        <v>4.909460745833333</v>
      </c>
      <c r="L51" s="36">
        <f>IF(Physical!L$574=0,0,1000*Costs!L211/Physical!L$574)</f>
        <v>4.909460745833333</v>
      </c>
      <c r="M51" s="36">
        <f>IF(Physical!M$574=0,0,1000*Costs!M211/Physical!M$574)</f>
        <v>4.909460745833333</v>
      </c>
      <c r="N51" s="36">
        <f>IF(Physical!N$574=0,0,1000*Costs!N211/Physical!N$574)</f>
        <v>4.909460745833333</v>
      </c>
      <c r="O51" s="36">
        <f>IF(Physical!O$574=0,0,1000*Costs!O211/Physical!O$574)</f>
        <v>4.909460745833333</v>
      </c>
      <c r="P51" s="36">
        <f>IF(Physical!P$574=0,0,1000*Costs!P211/Physical!P$574)</f>
        <v>4.909460745833333</v>
      </c>
      <c r="Q51" s="36">
        <f>IF(Physical!Q$574=0,0,1000*Costs!Q211/Physical!Q$574)</f>
        <v>3.3935839510521779</v>
      </c>
      <c r="R51" s="36"/>
      <c r="S51" s="109">
        <f>IF(Physical!S$574=0,0,1000*Costs!S211/Physical!S$574)</f>
        <v>4.9254800558791354</v>
      </c>
    </row>
    <row r="52" spans="1:19">
      <c r="A52" s="5" t="s">
        <v>124</v>
      </c>
      <c r="B52" s="36">
        <f>IF(Physical!B$574=0,0,1000*Costs!B219/Physical!B$574)</f>
        <v>0</v>
      </c>
      <c r="C52" s="36">
        <f>IF(Physical!C$574=0,0,1000*Costs!C219/Physical!C$574)</f>
        <v>0</v>
      </c>
      <c r="D52" s="36">
        <f>IF(Physical!D$574=0,0,1000*Costs!D219/Physical!D$574)</f>
        <v>0</v>
      </c>
      <c r="E52" s="36">
        <f>IF(Physical!E$574=0,0,1000*Costs!E219/Physical!E$574)</f>
        <v>138.82592792142535</v>
      </c>
      <c r="F52" s="36">
        <f>IF(Physical!F$574=0,0,1000*Costs!F219/Physical!F$574)</f>
        <v>120.45060980484557</v>
      </c>
      <c r="G52" s="36">
        <f>IF(Physical!G$574=0,0,1000*Costs!G219/Physical!G$574)</f>
        <v>119.38949968956081</v>
      </c>
      <c r="H52" s="36">
        <f>IF(Physical!H$574=0,0,1000*Costs!H219/Physical!H$574)</f>
        <v>113.16259617968905</v>
      </c>
      <c r="I52" s="36">
        <f>IF(Physical!I$574=0,0,1000*Costs!I219/Physical!I$574)</f>
        <v>112.28728623767196</v>
      </c>
      <c r="J52" s="36">
        <f>IF(Physical!J$574=0,0,1000*Costs!J219/Physical!J$574)</f>
        <v>111.67369288264382</v>
      </c>
      <c r="K52" s="36">
        <f>IF(Physical!K$574=0,0,1000*Costs!K219/Physical!K$574)</f>
        <v>111.99201519602475</v>
      </c>
      <c r="L52" s="36">
        <f>IF(Physical!L$574=0,0,1000*Costs!L219/Physical!L$574)</f>
        <v>111.54340585380379</v>
      </c>
      <c r="M52" s="36">
        <f>IF(Physical!M$574=0,0,1000*Costs!M219/Physical!M$574)</f>
        <v>110.94834968598973</v>
      </c>
      <c r="N52" s="36">
        <f>IF(Physical!N$574=0,0,1000*Costs!N219/Physical!N$574)</f>
        <v>98.285586771276542</v>
      </c>
      <c r="O52" s="36">
        <f>IF(Physical!O$574=0,0,1000*Costs!O219/Physical!O$574)</f>
        <v>97.250839094899646</v>
      </c>
      <c r="P52" s="36">
        <f>IF(Physical!P$574=0,0,1000*Costs!P219/Physical!P$574)</f>
        <v>97.637354349873561</v>
      </c>
      <c r="Q52" s="36">
        <f>IF(Physical!Q$574=0,0,1000*Costs!Q219/Physical!Q$574)</f>
        <v>86.071408631254556</v>
      </c>
      <c r="R52" s="36"/>
      <c r="S52" s="109">
        <f>IF(Physical!S$574=0,0,1000*Costs!S219/Physical!S$574)</f>
        <v>111.1295631588751</v>
      </c>
    </row>
    <row r="53" spans="1:19">
      <c r="A53" s="5" t="s">
        <v>125</v>
      </c>
      <c r="B53" s="36">
        <f>IF(Physical!B$574=0,0,1000*B22/Physical!B$574)</f>
        <v>0</v>
      </c>
      <c r="C53" s="36">
        <f>IF(Physical!C$574=0,0,1000*C22/Physical!C$574)</f>
        <v>0</v>
      </c>
      <c r="D53" s="36">
        <f>IF(Physical!D$574=0,0,1000*D22/Physical!D$574)</f>
        <v>0</v>
      </c>
      <c r="E53" s="36">
        <f>IF(Physical!E$574=0,0,1000*E22/Physical!E$574)</f>
        <v>18.14873021805148</v>
      </c>
      <c r="F53" s="36">
        <f>IF(Physical!F$574=0,0,1000*F22/Physical!F$574)</f>
        <v>16.821374499999994</v>
      </c>
      <c r="G53" s="36">
        <f>IF(Physical!G$574=0,0,1000*G22/Physical!G$574)</f>
        <v>16.821374499999994</v>
      </c>
      <c r="H53" s="36">
        <f>IF(Physical!H$574=0,0,1000*H22/Physical!H$574)</f>
        <v>16.821374499999997</v>
      </c>
      <c r="I53" s="36">
        <f>IF(Physical!I$574=0,0,1000*I22/Physical!I$574)</f>
        <v>16.821374499999997</v>
      </c>
      <c r="J53" s="36">
        <f>IF(Physical!J$574=0,0,1000*J22/Physical!J$574)</f>
        <v>16.821374499999997</v>
      </c>
      <c r="K53" s="36">
        <f>IF(Physical!K$574=0,0,1000*K22/Physical!K$574)</f>
        <v>16.821374499999994</v>
      </c>
      <c r="L53" s="36">
        <f>IF(Physical!L$574=0,0,1000*L22/Physical!L$574)</f>
        <v>16.821374499999994</v>
      </c>
      <c r="M53" s="36">
        <f>IF(Physical!M$574=0,0,1000*M22/Physical!M$574)</f>
        <v>16.821374499999997</v>
      </c>
      <c r="N53" s="36">
        <f>IF(Physical!N$574=0,0,1000*N22/Physical!N$574)</f>
        <v>16.821374499999997</v>
      </c>
      <c r="O53" s="36">
        <f>IF(Physical!O$574=0,0,1000*O22/Physical!O$574)</f>
        <v>16.821374499999997</v>
      </c>
      <c r="P53" s="36">
        <f>IF(Physical!P$574=0,0,1000*P22/Physical!P$574)</f>
        <v>16.821374499999997</v>
      </c>
      <c r="Q53" s="36">
        <f>IF(Physical!Q$574=0,0,1000*Q22/Physical!Q$574)</f>
        <v>14.597139334395795</v>
      </c>
      <c r="R53" s="36"/>
      <c r="S53" s="109">
        <f>IF(Physical!S$574=0,0,1000*S22/Physical!S$574)</f>
        <v>16.623797610145548</v>
      </c>
    </row>
    <row r="54" spans="1:19">
      <c r="A54" s="5" t="s">
        <v>129</v>
      </c>
      <c r="B54" s="36">
        <f>SUM(B52:B53)</f>
        <v>0</v>
      </c>
      <c r="C54" s="36">
        <f t="shared" ref="C54:S54" si="14">SUM(C52:C53)</f>
        <v>0</v>
      </c>
      <c r="D54" s="36">
        <f t="shared" si="14"/>
        <v>0</v>
      </c>
      <c r="E54" s="36">
        <f t="shared" si="14"/>
        <v>156.97465813947682</v>
      </c>
      <c r="F54" s="36">
        <f t="shared" si="14"/>
        <v>137.27198430484557</v>
      </c>
      <c r="G54" s="36">
        <f t="shared" si="14"/>
        <v>136.2108741895608</v>
      </c>
      <c r="H54" s="36">
        <f t="shared" si="14"/>
        <v>129.98397067968904</v>
      </c>
      <c r="I54" s="36">
        <f t="shared" si="14"/>
        <v>129.10866073767195</v>
      </c>
      <c r="J54" s="36">
        <f t="shared" si="14"/>
        <v>128.49506738264381</v>
      </c>
      <c r="K54" s="36">
        <f t="shared" si="14"/>
        <v>128.81338969602476</v>
      </c>
      <c r="L54" s="36">
        <f t="shared" si="14"/>
        <v>128.36478035380378</v>
      </c>
      <c r="M54" s="36">
        <f t="shared" si="14"/>
        <v>127.76972418598973</v>
      </c>
      <c r="N54" s="36">
        <f t="shared" si="14"/>
        <v>115.10696127127653</v>
      </c>
      <c r="O54" s="36">
        <f t="shared" ref="O54:Q54" si="15">SUM(O52:O53)</f>
        <v>114.07221359489964</v>
      </c>
      <c r="P54" s="36">
        <f t="shared" si="15"/>
        <v>114.45872884987355</v>
      </c>
      <c r="Q54" s="36">
        <f t="shared" si="15"/>
        <v>100.66854796565035</v>
      </c>
      <c r="R54" s="36"/>
      <c r="S54" s="109">
        <f t="shared" si="14"/>
        <v>127.75336076902065</v>
      </c>
    </row>
    <row r="55" spans="1:19">
      <c r="A55" s="5" t="s">
        <v>153</v>
      </c>
      <c r="B55" s="36">
        <f>IF(Physical!B$574=0,0,1000*B32/Physical!B$574)</f>
        <v>0</v>
      </c>
      <c r="C55" s="36">
        <f>IF(Physical!C$574=0,0,1000*C32/Physical!C$574)</f>
        <v>0</v>
      </c>
      <c r="D55" s="36">
        <f>IF(Physical!D$574=0,0,1000*D32/Physical!D$574)</f>
        <v>0</v>
      </c>
      <c r="E55" s="36">
        <f>IF(Physical!E$574=0,0,1000*E32/Physical!E$574)</f>
        <v>1.0187754268492506</v>
      </c>
      <c r="F55" s="36">
        <f>IF(Physical!F$574=0,0,1000*F32/Physical!F$574)</f>
        <v>1.0050251256281406</v>
      </c>
      <c r="G55" s="36">
        <f>IF(Physical!G$574=0,0,1000*G32/Physical!G$574)</f>
        <v>1.0050251256281406</v>
      </c>
      <c r="H55" s="36">
        <f>IF(Physical!H$574=0,0,1000*H32/Physical!H$574)</f>
        <v>1.0050251256281406</v>
      </c>
      <c r="I55" s="36">
        <f>IF(Physical!I$574=0,0,1000*I32/Physical!I$574)</f>
        <v>1.0050251256281406</v>
      </c>
      <c r="J55" s="36">
        <f>IF(Physical!J$574=0,0,1000*J32/Physical!J$574)</f>
        <v>1.0050251256281406</v>
      </c>
      <c r="K55" s="36">
        <f>IF(Physical!K$574=0,0,1000*K32/Physical!K$574)</f>
        <v>1.0050251256281406</v>
      </c>
      <c r="L55" s="36">
        <f>IF(Physical!L$574=0,0,1000*L32/Physical!L$574)</f>
        <v>1.0050251256281406</v>
      </c>
      <c r="M55" s="36">
        <f>IF(Physical!M$574=0,0,1000*M32/Physical!M$574)</f>
        <v>1.0050251256281406</v>
      </c>
      <c r="N55" s="36">
        <f>IF(Physical!N$574=0,0,1000*N32/Physical!N$574)</f>
        <v>1.0050251256281406</v>
      </c>
      <c r="O55" s="36">
        <f>IF(Physical!O$574=0,0,1000*O32/Physical!O$574)</f>
        <v>1.0050251256281406</v>
      </c>
      <c r="P55" s="36">
        <f>IF(Physical!P$574=0,0,1000*P32/Physical!P$574)</f>
        <v>1.0050251256281406</v>
      </c>
      <c r="Q55" s="36">
        <f>IF(Physical!Q$574=0,0,1000*Q32/Physical!Q$574)</f>
        <v>0.99862049058089575</v>
      </c>
      <c r="R55" s="36"/>
      <c r="S55" s="109">
        <f>IF(Physical!S$574=0,0,1000*S32/Physical!S$574)</f>
        <v>1.0050251256281411</v>
      </c>
    </row>
    <row r="56" spans="1:19">
      <c r="A56" s="5" t="s">
        <v>126</v>
      </c>
      <c r="B56" s="105">
        <f>SUM(B54:B55)</f>
        <v>0</v>
      </c>
      <c r="C56" s="105">
        <f t="shared" ref="C56:S56" si="16">SUM(C54:C55)</f>
        <v>0</v>
      </c>
      <c r="D56" s="105">
        <f t="shared" si="16"/>
        <v>0</v>
      </c>
      <c r="E56" s="105">
        <f t="shared" si="16"/>
        <v>157.99343356632608</v>
      </c>
      <c r="F56" s="105">
        <f t="shared" si="16"/>
        <v>138.27700943047373</v>
      </c>
      <c r="G56" s="105">
        <f t="shared" si="16"/>
        <v>137.21589931518895</v>
      </c>
      <c r="H56" s="105">
        <f t="shared" si="16"/>
        <v>130.98899580531719</v>
      </c>
      <c r="I56" s="105">
        <f t="shared" si="16"/>
        <v>130.11368586330011</v>
      </c>
      <c r="J56" s="105">
        <f t="shared" si="16"/>
        <v>129.50009250827196</v>
      </c>
      <c r="K56" s="105">
        <f t="shared" si="16"/>
        <v>129.81841482165291</v>
      </c>
      <c r="L56" s="105">
        <f t="shared" si="16"/>
        <v>129.36980547943193</v>
      </c>
      <c r="M56" s="105">
        <f t="shared" si="16"/>
        <v>128.77474931161788</v>
      </c>
      <c r="N56" s="105">
        <f t="shared" si="16"/>
        <v>116.11198639690467</v>
      </c>
      <c r="O56" s="105">
        <f t="shared" ref="O56:Q56" si="17">SUM(O54:O55)</f>
        <v>115.07723872052777</v>
      </c>
      <c r="P56" s="105">
        <f t="shared" si="17"/>
        <v>115.46375397550169</v>
      </c>
      <c r="Q56" s="105">
        <f t="shared" si="17"/>
        <v>101.66716845623124</v>
      </c>
      <c r="R56" s="105"/>
      <c r="S56" s="107">
        <f t="shared" si="16"/>
        <v>128.7583858946488</v>
      </c>
    </row>
    <row r="57" spans="1:19">
      <c r="A57" s="39" t="s">
        <v>54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09"/>
    </row>
    <row r="58" spans="1:19">
      <c r="A58" s="5" t="s">
        <v>5</v>
      </c>
      <c r="B58" s="105">
        <f>B46-B56</f>
        <v>0</v>
      </c>
      <c r="C58" s="105">
        <f t="shared" ref="C58:S58" si="18">C46-C56</f>
        <v>0</v>
      </c>
      <c r="D58" s="105">
        <f t="shared" si="18"/>
        <v>0</v>
      </c>
      <c r="E58" s="105">
        <f t="shared" si="18"/>
        <v>92.437247415316932</v>
      </c>
      <c r="F58" s="105">
        <f t="shared" si="18"/>
        <v>135.27549056952623</v>
      </c>
      <c r="G58" s="105">
        <f t="shared" si="18"/>
        <v>136.336600684811</v>
      </c>
      <c r="H58" s="105">
        <f t="shared" si="18"/>
        <v>142.56350419468276</v>
      </c>
      <c r="I58" s="105">
        <f t="shared" si="18"/>
        <v>143.43881413669985</v>
      </c>
      <c r="J58" s="105">
        <f t="shared" si="18"/>
        <v>144.05240749172799</v>
      </c>
      <c r="K58" s="105">
        <f t="shared" si="18"/>
        <v>143.73408517834704</v>
      </c>
      <c r="L58" s="105">
        <f t="shared" si="18"/>
        <v>144.18269452056802</v>
      </c>
      <c r="M58" s="105">
        <f t="shared" si="18"/>
        <v>144.77775068838207</v>
      </c>
      <c r="N58" s="105">
        <f t="shared" si="18"/>
        <v>157.44051360309527</v>
      </c>
      <c r="O58" s="105">
        <f t="shared" ref="O58:Q58" si="19">O46-O56</f>
        <v>158.47526127947219</v>
      </c>
      <c r="P58" s="105">
        <f t="shared" si="19"/>
        <v>158.08874602449828</v>
      </c>
      <c r="Q58" s="105">
        <f t="shared" si="19"/>
        <v>182.65504560746331</v>
      </c>
      <c r="R58" s="105"/>
      <c r="S58" s="107">
        <f t="shared" si="18"/>
        <v>144.79411410535121</v>
      </c>
    </row>
    <row r="59" spans="1:19">
      <c r="A59" s="5"/>
      <c r="B59" s="3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6"/>
    </row>
    <row r="60" spans="1:19">
      <c r="A60" s="39" t="s">
        <v>372</v>
      </c>
      <c r="B60" s="3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6"/>
    </row>
    <row r="61" spans="1:19">
      <c r="A61" s="39" t="s">
        <v>57</v>
      </c>
      <c r="B61" s="36">
        <f>IF(B$10=0,0,1000*B14/B$10)</f>
        <v>0</v>
      </c>
      <c r="C61" s="36">
        <f t="shared" ref="C61:S61" si="20">IF(C$10=0,0,1000*C14/C$10)</f>
        <v>0</v>
      </c>
      <c r="D61" s="36">
        <f t="shared" si="20"/>
        <v>0</v>
      </c>
      <c r="E61" s="36">
        <f t="shared" si="20"/>
        <v>650</v>
      </c>
      <c r="F61" s="36">
        <f t="shared" si="20"/>
        <v>650</v>
      </c>
      <c r="G61" s="36">
        <f t="shared" si="20"/>
        <v>650</v>
      </c>
      <c r="H61" s="36">
        <f t="shared" si="20"/>
        <v>650</v>
      </c>
      <c r="I61" s="36">
        <f t="shared" si="20"/>
        <v>650</v>
      </c>
      <c r="J61" s="36">
        <f t="shared" si="20"/>
        <v>650</v>
      </c>
      <c r="K61" s="36">
        <f t="shared" si="20"/>
        <v>650</v>
      </c>
      <c r="L61" s="36">
        <f t="shared" si="20"/>
        <v>650</v>
      </c>
      <c r="M61" s="36">
        <f t="shared" si="20"/>
        <v>650</v>
      </c>
      <c r="N61" s="36">
        <f t="shared" si="20"/>
        <v>650</v>
      </c>
      <c r="O61" s="36">
        <f t="shared" ref="O61:Q61" si="21">IF(O$10=0,0,1000*O14/O$10)</f>
        <v>650</v>
      </c>
      <c r="P61" s="36">
        <f t="shared" si="21"/>
        <v>650</v>
      </c>
      <c r="Q61" s="36">
        <f t="shared" si="21"/>
        <v>650</v>
      </c>
      <c r="R61" s="36"/>
      <c r="S61" s="109">
        <f t="shared" si="20"/>
        <v>649.99999999999989</v>
      </c>
    </row>
    <row r="62" spans="1:19">
      <c r="A62" s="39" t="s">
        <v>59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10"/>
    </row>
    <row r="63" spans="1:19">
      <c r="A63" s="5" t="s">
        <v>123</v>
      </c>
      <c r="B63" s="36">
        <f>IF(B$10=0,0,1000*Costs!B219/B$10)</f>
        <v>0</v>
      </c>
      <c r="C63" s="36">
        <f>IF(C$10=0,0,1000*Costs!C219/C$10)</f>
        <v>0</v>
      </c>
      <c r="D63" s="36">
        <f>IF(D$10=0,0,1000*Costs!D219/D$10)</f>
        <v>0</v>
      </c>
      <c r="E63" s="36">
        <f>IF(E$10=0,0,1000*Costs!E219/E$10)</f>
        <v>360.32666922125645</v>
      </c>
      <c r="F63" s="36">
        <f>IF(F$10=0,0,1000*Costs!F219/F$10)</f>
        <v>286.20793585563882</v>
      </c>
      <c r="G63" s="36">
        <f>IF(G$10=0,0,1000*Costs!G219/G$10)</f>
        <v>283.68658593218686</v>
      </c>
      <c r="H63" s="36">
        <f>IF(H$10=0,0,1000*Costs!H219/H$10)</f>
        <v>268.89056951333981</v>
      </c>
      <c r="I63" s="36">
        <f>IF(I$10=0,0,1000*Costs!I219/I$10)</f>
        <v>266.81070746743967</v>
      </c>
      <c r="J63" s="36">
        <f>IF(J$10=0,0,1000*Costs!J219/J$10)</f>
        <v>265.35272159354599</v>
      </c>
      <c r="K63" s="36">
        <f>IF(K$10=0,0,1000*Costs!K219/K$10)</f>
        <v>266.10910109546109</v>
      </c>
      <c r="L63" s="36">
        <f>IF(L$10=0,0,1000*Costs!L219/L$10)</f>
        <v>265.04314091434912</v>
      </c>
      <c r="M63" s="36">
        <f>IF(M$10=0,0,1000*Costs!M219/M$10)</f>
        <v>263.62920205771593</v>
      </c>
      <c r="N63" s="36">
        <f>IF(N$10=0,0,1000*Costs!N219/N$10)</f>
        <v>233.54066002441857</v>
      </c>
      <c r="O63" s="36">
        <f>IF(O$10=0,0,1000*Costs!O219/O$10)</f>
        <v>231.08195103932437</v>
      </c>
      <c r="P63" s="36">
        <f>IF(P$10=0,0,1000*Costs!P219/P$10)</f>
        <v>232.00036675745179</v>
      </c>
      <c r="Q63" s="36">
        <f>IF(Q$10=0,0,1000*Costs!Q219/Q$10)</f>
        <v>196.77117313732725</v>
      </c>
      <c r="R63" s="36"/>
      <c r="S63" s="109">
        <f>IF(S$10=0,0,1000*Costs!S219/S$10)</f>
        <v>264.05979127688028</v>
      </c>
    </row>
    <row r="64" spans="1:19">
      <c r="A64" s="5" t="s">
        <v>125</v>
      </c>
      <c r="B64" s="36">
        <f>IF(B$10=0,0,1000*B22/B$10)</f>
        <v>0</v>
      </c>
      <c r="C64" s="36">
        <f t="shared" ref="C64:S64" si="22">IF(C$10=0,0,1000*C22/C$10)</f>
        <v>0</v>
      </c>
      <c r="D64" s="36">
        <f t="shared" si="22"/>
        <v>0</v>
      </c>
      <c r="E64" s="36">
        <f t="shared" si="22"/>
        <v>47.10554871109494</v>
      </c>
      <c r="F64" s="36">
        <f t="shared" si="22"/>
        <v>39.97</v>
      </c>
      <c r="G64" s="36">
        <f t="shared" si="22"/>
        <v>39.97</v>
      </c>
      <c r="H64" s="36">
        <f t="shared" si="22"/>
        <v>39.97</v>
      </c>
      <c r="I64" s="36">
        <f t="shared" si="22"/>
        <v>39.97</v>
      </c>
      <c r="J64" s="36">
        <f t="shared" si="22"/>
        <v>39.97</v>
      </c>
      <c r="K64" s="36">
        <f t="shared" si="22"/>
        <v>39.97</v>
      </c>
      <c r="L64" s="36">
        <f t="shared" si="22"/>
        <v>39.97</v>
      </c>
      <c r="M64" s="36">
        <f t="shared" si="22"/>
        <v>39.97</v>
      </c>
      <c r="N64" s="36">
        <f t="shared" si="22"/>
        <v>39.97</v>
      </c>
      <c r="O64" s="36">
        <f t="shared" ref="O64:Q64" si="23">IF(O$10=0,0,1000*O22/O$10)</f>
        <v>39.97</v>
      </c>
      <c r="P64" s="36">
        <f t="shared" si="23"/>
        <v>39.97</v>
      </c>
      <c r="Q64" s="36">
        <f t="shared" si="23"/>
        <v>33.371084277050933</v>
      </c>
      <c r="R64" s="36"/>
      <c r="S64" s="109">
        <f t="shared" si="22"/>
        <v>39.500528953654616</v>
      </c>
    </row>
    <row r="65" spans="1:39">
      <c r="A65" s="5" t="s">
        <v>129</v>
      </c>
      <c r="B65" s="104">
        <f t="shared" ref="B65:S67" si="24">SUM(B63:B64)</f>
        <v>0</v>
      </c>
      <c r="C65" s="104">
        <f t="shared" si="24"/>
        <v>0</v>
      </c>
      <c r="D65" s="104">
        <f t="shared" si="24"/>
        <v>0</v>
      </c>
      <c r="E65" s="104">
        <f t="shared" si="24"/>
        <v>407.43221793235136</v>
      </c>
      <c r="F65" s="104">
        <f t="shared" si="24"/>
        <v>326.17793585563879</v>
      </c>
      <c r="G65" s="104">
        <f t="shared" si="24"/>
        <v>323.65658593218689</v>
      </c>
      <c r="H65" s="104">
        <f t="shared" si="24"/>
        <v>308.86056951333978</v>
      </c>
      <c r="I65" s="104">
        <f t="shared" si="24"/>
        <v>306.7807074674397</v>
      </c>
      <c r="J65" s="104">
        <f t="shared" si="24"/>
        <v>305.32272159354602</v>
      </c>
      <c r="K65" s="104">
        <f t="shared" si="24"/>
        <v>306.07910109546106</v>
      </c>
      <c r="L65" s="104">
        <f t="shared" si="24"/>
        <v>305.01314091434915</v>
      </c>
      <c r="M65" s="104">
        <f t="shared" si="24"/>
        <v>303.59920205771596</v>
      </c>
      <c r="N65" s="104">
        <f t="shared" si="24"/>
        <v>273.5106600244186</v>
      </c>
      <c r="O65" s="104">
        <f t="shared" ref="O65:Q65" si="25">SUM(O63:O64)</f>
        <v>271.05195103932436</v>
      </c>
      <c r="P65" s="104">
        <f t="shared" si="25"/>
        <v>271.97036675745176</v>
      </c>
      <c r="Q65" s="104">
        <f t="shared" si="25"/>
        <v>230.14225741437818</v>
      </c>
      <c r="R65" s="104"/>
      <c r="S65" s="111">
        <f t="shared" si="24"/>
        <v>303.5603202305349</v>
      </c>
    </row>
    <row r="66" spans="1:39">
      <c r="A66" s="5" t="s">
        <v>153</v>
      </c>
      <c r="B66" s="36">
        <f>IF(B$10=0,0,1000*B32/B$10)</f>
        <v>0</v>
      </c>
      <c r="C66" s="36">
        <f t="shared" ref="C66:S66" si="26">IF(C$10=0,0,1000*C32/C$10)</f>
        <v>0</v>
      </c>
      <c r="D66" s="36">
        <f t="shared" si="26"/>
        <v>0</v>
      </c>
      <c r="E66" s="36">
        <f t="shared" si="26"/>
        <v>2.6442607784968395</v>
      </c>
      <c r="F66" s="36">
        <f t="shared" si="26"/>
        <v>2.3880839387623642</v>
      </c>
      <c r="G66" s="36">
        <f t="shared" si="26"/>
        <v>2.3880839387623642</v>
      </c>
      <c r="H66" s="36">
        <f t="shared" si="26"/>
        <v>2.3880839387623638</v>
      </c>
      <c r="I66" s="36">
        <f t="shared" si="26"/>
        <v>2.3880839387623638</v>
      </c>
      <c r="J66" s="36">
        <f t="shared" si="26"/>
        <v>2.3880839387623638</v>
      </c>
      <c r="K66" s="36">
        <f t="shared" si="26"/>
        <v>2.3880839387623642</v>
      </c>
      <c r="L66" s="36">
        <f t="shared" si="26"/>
        <v>2.3880839387623642</v>
      </c>
      <c r="M66" s="36">
        <f t="shared" si="26"/>
        <v>2.3880839387623638</v>
      </c>
      <c r="N66" s="36">
        <f t="shared" si="26"/>
        <v>2.3880839387623638</v>
      </c>
      <c r="O66" s="36">
        <f t="shared" ref="O66:Q66" si="27">IF(O$10=0,0,1000*O32/O$10)</f>
        <v>2.3880839387623638</v>
      </c>
      <c r="P66" s="36">
        <f t="shared" si="27"/>
        <v>2.3880839387623638</v>
      </c>
      <c r="Q66" s="36">
        <f t="shared" si="27"/>
        <v>2.2829848909806554</v>
      </c>
      <c r="R66" s="36"/>
      <c r="S66" s="109">
        <f t="shared" si="26"/>
        <v>2.3880839387623638</v>
      </c>
    </row>
    <row r="67" spans="1:39">
      <c r="A67" s="5" t="s">
        <v>126</v>
      </c>
      <c r="B67" s="105">
        <f t="shared" si="24"/>
        <v>0</v>
      </c>
      <c r="C67" s="105">
        <f t="shared" si="24"/>
        <v>0</v>
      </c>
      <c r="D67" s="105">
        <f t="shared" si="24"/>
        <v>0</v>
      </c>
      <c r="E67" s="105">
        <f t="shared" si="24"/>
        <v>410.07647871084822</v>
      </c>
      <c r="F67" s="105">
        <f t="shared" si="24"/>
        <v>328.56601979440114</v>
      </c>
      <c r="G67" s="105">
        <f t="shared" si="24"/>
        <v>326.04466987094924</v>
      </c>
      <c r="H67" s="105">
        <f t="shared" si="24"/>
        <v>311.24865345210213</v>
      </c>
      <c r="I67" s="105">
        <f t="shared" si="24"/>
        <v>309.16879140620205</v>
      </c>
      <c r="J67" s="105">
        <f t="shared" si="24"/>
        <v>307.71080553230837</v>
      </c>
      <c r="K67" s="105">
        <f t="shared" si="24"/>
        <v>308.46718503422341</v>
      </c>
      <c r="L67" s="105">
        <f t="shared" si="24"/>
        <v>307.4012248531115</v>
      </c>
      <c r="M67" s="105">
        <f t="shared" si="24"/>
        <v>305.98728599647831</v>
      </c>
      <c r="N67" s="105">
        <f t="shared" si="24"/>
        <v>275.89874396318095</v>
      </c>
      <c r="O67" s="105">
        <f t="shared" ref="O67:Q67" si="28">SUM(O65:O66)</f>
        <v>273.44003497808671</v>
      </c>
      <c r="P67" s="105">
        <f t="shared" si="28"/>
        <v>274.35845069621411</v>
      </c>
      <c r="Q67" s="105">
        <f t="shared" si="28"/>
        <v>232.42524230535884</v>
      </c>
      <c r="R67" s="105"/>
      <c r="S67" s="107">
        <f t="shared" si="24"/>
        <v>305.94840416929725</v>
      </c>
    </row>
    <row r="68" spans="1:39">
      <c r="A68" s="102" t="s">
        <v>128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09">
        <f>Costs!S39*1000/S10</f>
        <v>94.479734722655195</v>
      </c>
    </row>
    <row r="69" spans="1:39">
      <c r="A69" s="102" t="s">
        <v>130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107">
        <f>SUM(S67:S68)</f>
        <v>400.42813889195247</v>
      </c>
    </row>
    <row r="70" spans="1:39">
      <c r="A70" s="5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11"/>
    </row>
    <row r="71" spans="1:39">
      <c r="A71" s="39" t="s">
        <v>127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109"/>
    </row>
    <row r="72" spans="1:39">
      <c r="A72" s="5" t="s">
        <v>54</v>
      </c>
      <c r="B72" s="105">
        <f>B61-B67</f>
        <v>0</v>
      </c>
      <c r="C72" s="105">
        <f t="shared" ref="C72:S72" si="29">C61-C67</f>
        <v>0</v>
      </c>
      <c r="D72" s="105">
        <f t="shared" si="29"/>
        <v>0</v>
      </c>
      <c r="E72" s="105">
        <f t="shared" si="29"/>
        <v>239.92352128915178</v>
      </c>
      <c r="F72" s="105">
        <f t="shared" si="29"/>
        <v>321.43398020559886</v>
      </c>
      <c r="G72" s="105">
        <f t="shared" si="29"/>
        <v>323.95533012905076</v>
      </c>
      <c r="H72" s="105">
        <f t="shared" si="29"/>
        <v>338.75134654789787</v>
      </c>
      <c r="I72" s="105">
        <f t="shared" si="29"/>
        <v>340.83120859379795</v>
      </c>
      <c r="J72" s="105">
        <f t="shared" si="29"/>
        <v>342.28919446769163</v>
      </c>
      <c r="K72" s="105">
        <f t="shared" si="29"/>
        <v>341.53281496577659</v>
      </c>
      <c r="L72" s="105">
        <f t="shared" si="29"/>
        <v>342.5987751468885</v>
      </c>
      <c r="M72" s="105">
        <f t="shared" si="29"/>
        <v>344.01271400352169</v>
      </c>
      <c r="N72" s="105">
        <f t="shared" si="29"/>
        <v>374.10125603681905</v>
      </c>
      <c r="O72" s="105">
        <f t="shared" si="29"/>
        <v>376.55996502191329</v>
      </c>
      <c r="P72" s="105">
        <f t="shared" si="29"/>
        <v>375.64154930378589</v>
      </c>
      <c r="Q72" s="105">
        <f t="shared" si="29"/>
        <v>417.57475769464116</v>
      </c>
      <c r="R72" s="105"/>
      <c r="S72" s="107">
        <f t="shared" si="29"/>
        <v>344.05159583070264</v>
      </c>
    </row>
    <row r="73" spans="1:39">
      <c r="A73" s="102" t="s">
        <v>131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107">
        <f>S72-S68</f>
        <v>249.57186110804744</v>
      </c>
    </row>
    <row r="74" spans="1:39">
      <c r="A74" s="8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28"/>
    </row>
    <row r="75" spans="1:39">
      <c r="A75" s="4"/>
      <c r="B75" s="4"/>
    </row>
    <row r="76" spans="1:39">
      <c r="A76" s="12"/>
      <c r="B76" s="12"/>
      <c r="C76" s="12"/>
      <c r="D76" s="12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4"/>
      <c r="AM76" s="4"/>
    </row>
    <row r="77" spans="1:39">
      <c r="A77" s="13" t="s">
        <v>0</v>
      </c>
      <c r="B77" s="77"/>
      <c r="C77" s="77"/>
      <c r="D77" s="77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5"/>
    </row>
    <row r="78" spans="1:39">
      <c r="A78" s="16" t="str">
        <f>Title!$F$10</f>
        <v>ARTHUR RIVER MAGNESITE PROJECT</v>
      </c>
      <c r="B78" s="78"/>
      <c r="C78" s="78"/>
      <c r="D78" s="78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</row>
    <row r="79" spans="1:39">
      <c r="A79" s="16" t="str">
        <f>Title!$F$12</f>
        <v>ORDER OF MAGNITUDE COST STUDY: CALCINE PRODUCTION ONLY</v>
      </c>
      <c r="B79" s="78"/>
      <c r="C79" s="78"/>
      <c r="D79" s="78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</row>
    <row r="80" spans="1:39">
      <c r="A80" s="19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 t="str">
        <f>Title!$F$19</f>
        <v>3 October 2011</v>
      </c>
      <c r="S80" s="18"/>
    </row>
    <row r="81" spans="1:20">
      <c r="A81" s="20" t="s">
        <v>114</v>
      </c>
      <c r="B81" s="79"/>
      <c r="C81" s="79"/>
      <c r="D81" s="79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</row>
    <row r="82" spans="1:20">
      <c r="A82" s="38"/>
      <c r="B82" s="41" t="s">
        <v>26</v>
      </c>
      <c r="C82" s="41" t="s">
        <v>26</v>
      </c>
      <c r="D82" s="41" t="s">
        <v>26</v>
      </c>
      <c r="E82" s="41" t="s">
        <v>26</v>
      </c>
      <c r="F82" s="41" t="s">
        <v>26</v>
      </c>
      <c r="G82" s="41" t="s">
        <v>26</v>
      </c>
      <c r="H82" s="41" t="s">
        <v>26</v>
      </c>
      <c r="I82" s="41" t="s">
        <v>26</v>
      </c>
      <c r="J82" s="41" t="s">
        <v>26</v>
      </c>
      <c r="K82" s="41" t="s">
        <v>26</v>
      </c>
      <c r="L82" s="41" t="s">
        <v>26</v>
      </c>
      <c r="M82" s="41" t="s">
        <v>26</v>
      </c>
      <c r="N82" s="41" t="s">
        <v>26</v>
      </c>
      <c r="O82" s="41" t="s">
        <v>26</v>
      </c>
      <c r="P82" s="41" t="s">
        <v>26</v>
      </c>
      <c r="Q82" s="41" t="s">
        <v>26</v>
      </c>
      <c r="R82" s="41"/>
      <c r="S82" s="42" t="s">
        <v>5</v>
      </c>
      <c r="T82" s="53" t="s">
        <v>32</v>
      </c>
    </row>
    <row r="83" spans="1:20">
      <c r="A83" s="8"/>
      <c r="B83" s="43">
        <v>-3</v>
      </c>
      <c r="C83" s="43">
        <v>-2</v>
      </c>
      <c r="D83" s="43">
        <v>-1</v>
      </c>
      <c r="E83" s="43">
        <v>1</v>
      </c>
      <c r="F83" s="43">
        <v>2</v>
      </c>
      <c r="G83" s="43">
        <v>3</v>
      </c>
      <c r="H83" s="43">
        <v>4</v>
      </c>
      <c r="I83" s="43">
        <v>5</v>
      </c>
      <c r="J83" s="43">
        <v>6</v>
      </c>
      <c r="K83" s="43">
        <v>7</v>
      </c>
      <c r="L83" s="43">
        <v>8</v>
      </c>
      <c r="M83" s="43">
        <v>9</v>
      </c>
      <c r="N83" s="43">
        <v>10</v>
      </c>
      <c r="O83" s="43">
        <v>11</v>
      </c>
      <c r="P83" s="43">
        <v>12</v>
      </c>
      <c r="Q83" s="43">
        <v>13</v>
      </c>
      <c r="R83" s="43"/>
      <c r="S83" s="8"/>
    </row>
    <row r="84" spans="1:20">
      <c r="A84" s="60" t="s">
        <v>33</v>
      </c>
      <c r="B84" s="88"/>
      <c r="C84" s="88"/>
      <c r="D84" s="88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38"/>
    </row>
    <row r="85" spans="1:20">
      <c r="A85" s="6" t="s">
        <v>34</v>
      </c>
      <c r="B85" s="31">
        <f>Costs!B39</f>
        <v>2200</v>
      </c>
      <c r="C85" s="31">
        <f>Costs!C39</f>
        <v>26780</v>
      </c>
      <c r="D85" s="31">
        <f>Costs!D39</f>
        <v>72672</v>
      </c>
      <c r="E85" s="31">
        <f>Costs!E39</f>
        <v>2260</v>
      </c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11">
        <f>SUM(B85:R85)</f>
        <v>103912</v>
      </c>
    </row>
    <row r="86" spans="1:20">
      <c r="A86" s="6" t="s">
        <v>35</v>
      </c>
      <c r="B86" s="31">
        <f>MAX(Costs!B219+B22+B32-B16,0)</f>
        <v>0</v>
      </c>
      <c r="C86" s="31">
        <f>MAX(Costs!C219+C22+C32-C16,0)</f>
        <v>0</v>
      </c>
      <c r="D86" s="31">
        <f>MAX(Costs!D219+D22+D32-D16,0)</f>
        <v>8999.9891447490882</v>
      </c>
      <c r="E86" s="31">
        <f>MAX(Costs!E219+E22+E32-E16,0)</f>
        <v>0</v>
      </c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11">
        <f t="shared" ref="S86:S87" si="30">SUM(B86:R86)</f>
        <v>8999.9891447490882</v>
      </c>
    </row>
    <row r="87" spans="1:20">
      <c r="A87" s="6" t="s">
        <v>36</v>
      </c>
      <c r="B87" s="31">
        <f t="shared" ref="B87:D87" si="31">SUM(B85:B86)</f>
        <v>2200</v>
      </c>
      <c r="C87" s="31">
        <f t="shared" si="31"/>
        <v>26780</v>
      </c>
      <c r="D87" s="31">
        <f t="shared" si="31"/>
        <v>81671.989144749095</v>
      </c>
      <c r="E87" s="31">
        <f>SUM(E85:E86)</f>
        <v>2260</v>
      </c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11">
        <f t="shared" si="30"/>
        <v>112911.9891447491</v>
      </c>
    </row>
    <row r="88" spans="1:20">
      <c r="A88" s="39" t="s">
        <v>37</v>
      </c>
      <c r="B88" s="85"/>
      <c r="C88" s="85"/>
      <c r="D88" s="85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11"/>
    </row>
    <row r="89" spans="1:20">
      <c r="A89" s="6" t="s">
        <v>38</v>
      </c>
      <c r="B89" s="31">
        <f>B87</f>
        <v>2200</v>
      </c>
      <c r="C89" s="31">
        <f>IF(SUM($B87:B87)&gt;$T89,0,IF(SUM($B87:C87)&lt;$T89,C87,$T89-SUM($B89:B89)))</f>
        <v>26780</v>
      </c>
      <c r="D89" s="31">
        <f>IF(SUM($B87:C87)&gt;$T89,0,IF(SUM($B87:D87)&lt;$T89,D87,$T89-SUM($B89:C89)))</f>
        <v>12584.800000000003</v>
      </c>
      <c r="E89" s="31">
        <f>IF(SUM($B87:D87)&gt;$T89,0,IF(SUM($B87:E87)&lt;$T89,E87,$T89-SUM($B89:D89)))</f>
        <v>0</v>
      </c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11">
        <f t="shared" ref="S89:S91" si="32">SUM(B89:R89)</f>
        <v>41564.800000000003</v>
      </c>
      <c r="T89" s="50">
        <f>$S85*(1-Input!$B322)</f>
        <v>41564.800000000003</v>
      </c>
    </row>
    <row r="90" spans="1:20">
      <c r="A90" s="6" t="s">
        <v>12</v>
      </c>
      <c r="B90" s="31">
        <f t="shared" ref="B90:D90" si="33">B87-B89</f>
        <v>0</v>
      </c>
      <c r="C90" s="31">
        <f t="shared" si="33"/>
        <v>0</v>
      </c>
      <c r="D90" s="31">
        <f t="shared" si="33"/>
        <v>69087.189144749093</v>
      </c>
      <c r="E90" s="31">
        <f>E87-E89</f>
        <v>2260</v>
      </c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11">
        <f t="shared" si="32"/>
        <v>71347.189144749093</v>
      </c>
    </row>
    <row r="91" spans="1:20">
      <c r="A91" s="6" t="s">
        <v>39</v>
      </c>
      <c r="B91" s="31">
        <f t="shared" ref="B91:D91" si="34">SUM(B89:B90)</f>
        <v>2200</v>
      </c>
      <c r="C91" s="31">
        <f t="shared" si="34"/>
        <v>26780</v>
      </c>
      <c r="D91" s="31">
        <f t="shared" si="34"/>
        <v>81671.989144749095</v>
      </c>
      <c r="E91" s="31">
        <f>SUM(E89:E90)</f>
        <v>2260</v>
      </c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11">
        <f t="shared" si="32"/>
        <v>112911.9891447491</v>
      </c>
    </row>
    <row r="92" spans="1:20">
      <c r="A92" s="39" t="s">
        <v>40</v>
      </c>
      <c r="B92" s="85"/>
      <c r="C92" s="85"/>
      <c r="D92" s="85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11"/>
    </row>
    <row r="93" spans="1:20">
      <c r="A93" s="6" t="s">
        <v>5</v>
      </c>
      <c r="B93" s="70">
        <f>B90</f>
        <v>0</v>
      </c>
      <c r="C93" s="70">
        <f>C90*(1+Input!$D$311)</f>
        <v>0</v>
      </c>
      <c r="D93" s="70">
        <f>D90*(1+Input!$D$311)^2</f>
        <v>72584.728095202008</v>
      </c>
      <c r="E93" s="70">
        <f>E90*(1+Input!$D$311)^3</f>
        <v>2433.7728124999999</v>
      </c>
      <c r="F93" s="70">
        <f>F90*(1+Input!$D$311)^4</f>
        <v>0</v>
      </c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11">
        <f>SUM(B93:R93)</f>
        <v>75018.500907702008</v>
      </c>
    </row>
    <row r="94" spans="1:20">
      <c r="A94" s="65" t="s">
        <v>41</v>
      </c>
      <c r="B94" s="93"/>
      <c r="C94" s="93"/>
      <c r="D94" s="93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11"/>
    </row>
    <row r="95" spans="1:20">
      <c r="A95" s="6" t="s">
        <v>42</v>
      </c>
      <c r="B95" s="31">
        <v>0</v>
      </c>
      <c r="C95" s="31">
        <f t="shared" ref="C95:E95" si="35">B101</f>
        <v>0</v>
      </c>
      <c r="D95" s="31">
        <f t="shared" si="35"/>
        <v>0</v>
      </c>
      <c r="E95" s="31">
        <f t="shared" si="35"/>
        <v>79117.353623770192</v>
      </c>
      <c r="F95" s="31">
        <f>E101</f>
        <v>88890.727815534512</v>
      </c>
      <c r="G95" s="31">
        <f>F101</f>
        <v>77075.391537622214</v>
      </c>
      <c r="H95" s="31">
        <f>G101</f>
        <v>64196.674994697809</v>
      </c>
      <c r="I95" s="31">
        <f>H101</f>
        <v>50158.873962910206</v>
      </c>
      <c r="J95" s="31">
        <f t="shared" ref="J95:N95" si="36">I101</f>
        <v>34857.670838261722</v>
      </c>
      <c r="K95" s="31">
        <f t="shared" si="36"/>
        <v>18179.359432394871</v>
      </c>
      <c r="L95" s="31">
        <f t="shared" si="36"/>
        <v>0</v>
      </c>
      <c r="M95" s="31">
        <f t="shared" si="36"/>
        <v>0</v>
      </c>
      <c r="N95" s="31">
        <f t="shared" si="36"/>
        <v>0</v>
      </c>
      <c r="O95" s="31"/>
      <c r="P95" s="31"/>
      <c r="Q95" s="31"/>
      <c r="R95" s="31"/>
      <c r="S95" s="11"/>
    </row>
    <row r="96" spans="1:20">
      <c r="A96" s="6" t="s">
        <v>43</v>
      </c>
      <c r="B96" s="31">
        <f t="shared" ref="B96:D96" si="37">B93</f>
        <v>0</v>
      </c>
      <c r="C96" s="31">
        <f t="shared" si="37"/>
        <v>0</v>
      </c>
      <c r="D96" s="31">
        <f t="shared" si="37"/>
        <v>72584.728095202008</v>
      </c>
      <c r="E96" s="31">
        <f>E93</f>
        <v>2433.7728124999999</v>
      </c>
      <c r="F96" s="31">
        <f>F93</f>
        <v>0</v>
      </c>
      <c r="G96" s="31">
        <f>G93</f>
        <v>0</v>
      </c>
      <c r="H96" s="31">
        <f>H93</f>
        <v>0</v>
      </c>
      <c r="I96" s="31">
        <f t="shared" ref="I96:N96" si="38">I93</f>
        <v>0</v>
      </c>
      <c r="J96" s="31">
        <f t="shared" si="38"/>
        <v>0</v>
      </c>
      <c r="K96" s="31">
        <f t="shared" si="38"/>
        <v>0</v>
      </c>
      <c r="L96" s="31">
        <f t="shared" si="38"/>
        <v>0</v>
      </c>
      <c r="M96" s="31">
        <f t="shared" si="38"/>
        <v>0</v>
      </c>
      <c r="N96" s="31">
        <f t="shared" si="38"/>
        <v>0</v>
      </c>
      <c r="O96" s="31"/>
      <c r="P96" s="31"/>
      <c r="Q96" s="31"/>
      <c r="R96" s="31"/>
      <c r="S96" s="11">
        <f t="shared" ref="S96:S100" si="39">SUM(B96:R96)</f>
        <v>75018.500907702008</v>
      </c>
    </row>
    <row r="97" spans="1:20">
      <c r="A97" s="6" t="s">
        <v>44</v>
      </c>
      <c r="B97" s="71">
        <f>(B95+B96)*Input!$D324</f>
        <v>0</v>
      </c>
      <c r="C97" s="71">
        <f>(C95+C96)*Input!$D324</f>
        <v>0</v>
      </c>
      <c r="D97" s="71">
        <f>(D95+D96)*Input!$D324</f>
        <v>6532.6255285681864</v>
      </c>
      <c r="E97" s="71">
        <f>(E95+E96)*Input!$D324</f>
        <v>7339.6013792643234</v>
      </c>
      <c r="F97" s="71">
        <f>(F95+F96)*Input!$D324</f>
        <v>8000.1655033981133</v>
      </c>
      <c r="G97" s="71">
        <f>(G95+G96)*Input!$D324</f>
        <v>6936.7852383860054</v>
      </c>
      <c r="H97" s="71">
        <f>(H95+H96)*Input!$D324</f>
        <v>5777.7007495228081</v>
      </c>
      <c r="I97" s="71">
        <f>(I95+I96)*Input!$D324</f>
        <v>4514.2986566619229</v>
      </c>
      <c r="J97" s="71">
        <f>(J95+J96)*Input!$D324</f>
        <v>3137.1903754435575</v>
      </c>
      <c r="K97" s="71">
        <f>(K95+K96)*Input!$D324</f>
        <v>1636.1423489155397</v>
      </c>
      <c r="L97" s="71">
        <f>(L95+L96)*Input!$D324</f>
        <v>0</v>
      </c>
      <c r="M97" s="71">
        <f>(M95+M96)*Input!$D324</f>
        <v>0</v>
      </c>
      <c r="N97" s="71">
        <f>(N95+N96)*Input!$D324</f>
        <v>0</v>
      </c>
      <c r="O97" s="71"/>
      <c r="P97" s="71"/>
      <c r="Q97" s="71"/>
      <c r="R97" s="71"/>
      <c r="S97" s="11">
        <f t="shared" si="39"/>
        <v>43874.509780160457</v>
      </c>
    </row>
    <row r="98" spans="1:20">
      <c r="A98" s="6" t="s">
        <v>45</v>
      </c>
      <c r="B98" s="4"/>
      <c r="C98" s="4"/>
      <c r="D98" s="4"/>
      <c r="E98" s="31"/>
      <c r="F98" s="31">
        <f t="shared" ref="F98:J98" si="40">IF(F97&lt;F100,F97,F100)</f>
        <v>8000.1655033981133</v>
      </c>
      <c r="G98" s="31">
        <f t="shared" si="40"/>
        <v>6936.7852383860054</v>
      </c>
      <c r="H98" s="31">
        <f t="shared" si="40"/>
        <v>5777.7007495228081</v>
      </c>
      <c r="I98" s="31">
        <f t="shared" si="40"/>
        <v>4514.2986566619229</v>
      </c>
      <c r="J98" s="31">
        <f t="shared" si="40"/>
        <v>3137.1903754435575</v>
      </c>
      <c r="K98" s="31">
        <f>IF(K97&lt;K100,K97,K100)</f>
        <v>1636.1423489155397</v>
      </c>
      <c r="L98" s="31">
        <f>IF(L97&lt;L100,L97,L100)</f>
        <v>0</v>
      </c>
      <c r="M98" s="31">
        <f>IF(M97&lt;M100,M97,M100)</f>
        <v>0</v>
      </c>
      <c r="N98" s="31">
        <f>IF(N97&lt;N100,N97,N100)</f>
        <v>0</v>
      </c>
      <c r="O98" s="31"/>
      <c r="P98" s="31"/>
      <c r="Q98" s="31"/>
      <c r="R98" s="31"/>
      <c r="S98" s="11">
        <f t="shared" si="39"/>
        <v>30002.282872327945</v>
      </c>
    </row>
    <row r="99" spans="1:20">
      <c r="A99" s="6" t="s">
        <v>46</v>
      </c>
      <c r="B99" s="4"/>
      <c r="C99" s="4"/>
      <c r="D99" s="4"/>
      <c r="E99" s="31"/>
      <c r="F99" s="31">
        <f t="shared" ref="F99:J99" si="41">F100-F98</f>
        <v>11815.336277912293</v>
      </c>
      <c r="G99" s="31">
        <f t="shared" si="41"/>
        <v>12878.716542924401</v>
      </c>
      <c r="H99" s="31">
        <f t="shared" si="41"/>
        <v>14037.801031787598</v>
      </c>
      <c r="I99" s="31">
        <f t="shared" si="41"/>
        <v>15301.203124648484</v>
      </c>
      <c r="J99" s="31">
        <f t="shared" si="41"/>
        <v>16678.311405866847</v>
      </c>
      <c r="K99" s="31">
        <f>K100-K98</f>
        <v>18179.359432394871</v>
      </c>
      <c r="L99" s="31">
        <f>L100-L98</f>
        <v>0</v>
      </c>
      <c r="M99" s="31">
        <f>M100-M98</f>
        <v>0</v>
      </c>
      <c r="N99" s="31">
        <f>N100-N98</f>
        <v>0</v>
      </c>
      <c r="O99" s="31"/>
      <c r="P99" s="31"/>
      <c r="Q99" s="31"/>
      <c r="R99" s="31"/>
      <c r="S99" s="11">
        <f t="shared" si="39"/>
        <v>88890.727815534483</v>
      </c>
    </row>
    <row r="100" spans="1:20">
      <c r="A100" s="6" t="s">
        <v>47</v>
      </c>
      <c r="B100" s="4"/>
      <c r="C100" s="4"/>
      <c r="D100" s="4"/>
      <c r="E100" s="31"/>
      <c r="F100" s="31">
        <f>-PMT(Input!$D$324,Input!$B$323/'Phys Input'!$B$8,F95,0)</f>
        <v>19815.501781310406</v>
      </c>
      <c r="G100" s="31">
        <f>$F100</f>
        <v>19815.501781310406</v>
      </c>
      <c r="H100" s="31">
        <f t="shared" ref="H100:J100" si="42">$F100</f>
        <v>19815.501781310406</v>
      </c>
      <c r="I100" s="31">
        <f t="shared" si="42"/>
        <v>19815.501781310406</v>
      </c>
      <c r="J100" s="31">
        <f t="shared" si="42"/>
        <v>19815.501781310406</v>
      </c>
      <c r="K100" s="31">
        <f>K95+K97</f>
        <v>19815.50178131041</v>
      </c>
      <c r="L100" s="31"/>
      <c r="M100" s="31"/>
      <c r="N100" s="31"/>
      <c r="O100" s="31"/>
      <c r="P100" s="31"/>
      <c r="Q100" s="31"/>
      <c r="R100" s="31"/>
      <c r="S100" s="11">
        <f t="shared" si="39"/>
        <v>118893.01068786244</v>
      </c>
    </row>
    <row r="101" spans="1:20">
      <c r="A101" s="6" t="s">
        <v>48</v>
      </c>
      <c r="B101" s="31">
        <f t="shared" ref="B101:D101" si="43">SUM(B95:B97)-B100</f>
        <v>0</v>
      </c>
      <c r="C101" s="31">
        <f t="shared" si="43"/>
        <v>0</v>
      </c>
      <c r="D101" s="31">
        <f t="shared" si="43"/>
        <v>79117.353623770192</v>
      </c>
      <c r="E101" s="31">
        <f t="shared" ref="E101:N101" si="44">SUM(E95:E97)-E100</f>
        <v>88890.727815534512</v>
      </c>
      <c r="F101" s="31">
        <f>SUM(F95:F97)-F100</f>
        <v>77075.391537622214</v>
      </c>
      <c r="G101" s="31">
        <f>SUM(G95:G97)-G100</f>
        <v>64196.674994697809</v>
      </c>
      <c r="H101" s="31">
        <f>SUM(H95:H97)-H100</f>
        <v>50158.873962910206</v>
      </c>
      <c r="I101" s="31">
        <f t="shared" si="44"/>
        <v>34857.670838261722</v>
      </c>
      <c r="J101" s="31">
        <f t="shared" si="44"/>
        <v>18179.359432394871</v>
      </c>
      <c r="K101" s="31">
        <f t="shared" si="44"/>
        <v>0</v>
      </c>
      <c r="L101" s="31">
        <f t="shared" si="44"/>
        <v>0</v>
      </c>
      <c r="M101" s="31">
        <f t="shared" si="44"/>
        <v>0</v>
      </c>
      <c r="N101" s="31">
        <f t="shared" si="44"/>
        <v>0</v>
      </c>
      <c r="O101" s="31"/>
      <c r="P101" s="31"/>
      <c r="Q101" s="31"/>
      <c r="R101" s="31"/>
      <c r="S101" s="11"/>
    </row>
    <row r="102" spans="1:20">
      <c r="A102" s="65" t="s">
        <v>49</v>
      </c>
      <c r="B102" s="93"/>
      <c r="C102" s="93"/>
      <c r="D102" s="93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11"/>
    </row>
    <row r="103" spans="1:20">
      <c r="A103" s="6" t="s">
        <v>43</v>
      </c>
      <c r="B103" s="31">
        <f>B96</f>
        <v>0</v>
      </c>
      <c r="C103" s="31">
        <f>C96/(1+Input!$D$311)</f>
        <v>0</v>
      </c>
      <c r="D103" s="31">
        <f>D96/(1+Input!$D$311)^2</f>
        <v>69087.189144749093</v>
      </c>
      <c r="E103" s="31">
        <f>E96/(1+Input!$D$311)^3</f>
        <v>2260</v>
      </c>
      <c r="F103" s="31">
        <f>F96/(1+Input!$D$311)^4</f>
        <v>0</v>
      </c>
      <c r="G103" s="31">
        <f>G96/(1+Input!$D$311)^5</f>
        <v>0</v>
      </c>
      <c r="H103" s="31">
        <f>H96/(1+Input!$D$311)^6</f>
        <v>0</v>
      </c>
      <c r="I103" s="31">
        <f>I96/(1+Input!$D$311)^7</f>
        <v>0</v>
      </c>
      <c r="J103" s="31">
        <f>J96/(1+Input!$D$311)^8</f>
        <v>0</v>
      </c>
      <c r="K103" s="31">
        <f>K96/(1+Input!$D$311)^9</f>
        <v>0</v>
      </c>
      <c r="L103" s="31">
        <f>L96/(1+Input!$D$311)^10</f>
        <v>0</v>
      </c>
      <c r="M103" s="31">
        <f>M96/(1+Input!$D$311)^11</f>
        <v>0</v>
      </c>
      <c r="N103" s="31">
        <f>N96/(1+Input!$D$311)^12</f>
        <v>0</v>
      </c>
      <c r="O103" s="31"/>
      <c r="P103" s="31"/>
      <c r="Q103" s="31"/>
      <c r="R103" s="31"/>
      <c r="S103" s="11">
        <f t="shared" ref="S103:S106" si="45">SUM(B103:R103)</f>
        <v>71347.189144749093</v>
      </c>
    </row>
    <row r="104" spans="1:20">
      <c r="A104" s="6" t="s">
        <v>44</v>
      </c>
      <c r="B104" s="31">
        <f t="shared" ref="B104:B106" si="46">B97</f>
        <v>0</v>
      </c>
      <c r="C104" s="31">
        <f>C97/(1+Input!$D$311)</f>
        <v>0</v>
      </c>
      <c r="D104" s="31">
        <f>D97/(1+Input!$D$311)^2</f>
        <v>6217.8470230274233</v>
      </c>
      <c r="E104" s="31">
        <f>E97/(1+Input!$D$311)^3</f>
        <v>6815.5495171706261</v>
      </c>
      <c r="F104" s="31">
        <f>F97/(1+Input!$D$311)^4</f>
        <v>7247.7550963082776</v>
      </c>
      <c r="G104" s="31">
        <f>G97/(1+Input!$D$311)^5</f>
        <v>6131.1073751738777</v>
      </c>
      <c r="H104" s="31">
        <f>H97/(1+Input!$D$311)^6</f>
        <v>4982.0932487711761</v>
      </c>
      <c r="I104" s="31">
        <f>I97/(1+Input!$D$311)^7</f>
        <v>3797.7225206334556</v>
      </c>
      <c r="J104" s="31">
        <f>J97/(1+Input!$D$311)^8</f>
        <v>2574.8382426331359</v>
      </c>
      <c r="K104" s="31">
        <f>K97/(1+Input!$D$311)^9</f>
        <v>1310.1055826678114</v>
      </c>
      <c r="L104" s="31">
        <f>L97/(1+Input!$D$311)^10</f>
        <v>0</v>
      </c>
      <c r="M104" s="31">
        <f>M97/(1+Input!$D$311)^11</f>
        <v>0</v>
      </c>
      <c r="N104" s="31">
        <f>N97/(1+Input!$D$311)^12</f>
        <v>0</v>
      </c>
      <c r="O104" s="31"/>
      <c r="P104" s="31"/>
      <c r="Q104" s="31"/>
      <c r="R104" s="31"/>
      <c r="S104" s="11">
        <f t="shared" si="45"/>
        <v>39077.018606385791</v>
      </c>
    </row>
    <row r="105" spans="1:20">
      <c r="A105" s="6" t="s">
        <v>45</v>
      </c>
      <c r="B105" s="31">
        <f t="shared" si="46"/>
        <v>0</v>
      </c>
      <c r="C105" s="31">
        <f>C98/(1+Input!$D$311)</f>
        <v>0</v>
      </c>
      <c r="D105" s="31">
        <f>D98/(1+Input!$D$311)^2</f>
        <v>0</v>
      </c>
      <c r="E105" s="31">
        <f>E98/(1+Input!$D$311)^3</f>
        <v>0</v>
      </c>
      <c r="F105" s="31">
        <f>F98/(1+Input!$D$311)^4</f>
        <v>7247.7550963082776</v>
      </c>
      <c r="G105" s="31">
        <f>G98/(1+Input!$D$311)^5</f>
        <v>6131.1073751738777</v>
      </c>
      <c r="H105" s="31">
        <f>H98/(1+Input!$D$311)^6</f>
        <v>4982.0932487711761</v>
      </c>
      <c r="I105" s="31">
        <f>I98/(1+Input!$D$311)^7</f>
        <v>3797.7225206334556</v>
      </c>
      <c r="J105" s="31">
        <f>J98/(1+Input!$D$311)^8</f>
        <v>2574.8382426331359</v>
      </c>
      <c r="K105" s="31">
        <f>K98/(1+Input!$D$311)^9</f>
        <v>1310.1055826678114</v>
      </c>
      <c r="L105" s="31">
        <f>L98/(1+Input!$D$311)^10</f>
        <v>0</v>
      </c>
      <c r="M105" s="31">
        <f>M98/(1+Input!$D$311)^11</f>
        <v>0</v>
      </c>
      <c r="N105" s="31">
        <f>N98/(1+Input!$D$311)^12</f>
        <v>0</v>
      </c>
      <c r="O105" s="31"/>
      <c r="P105" s="31"/>
      <c r="Q105" s="31"/>
      <c r="R105" s="31"/>
      <c r="S105" s="11">
        <f t="shared" si="45"/>
        <v>26043.622066187738</v>
      </c>
    </row>
    <row r="106" spans="1:20">
      <c r="A106" s="6" t="s">
        <v>46</v>
      </c>
      <c r="B106" s="31">
        <f t="shared" si="46"/>
        <v>0</v>
      </c>
      <c r="C106" s="31">
        <f>C99/(1+Input!$D$311)</f>
        <v>0</v>
      </c>
      <c r="D106" s="31">
        <f>D99/(1+Input!$D$311)^2</f>
        <v>0</v>
      </c>
      <c r="E106" s="31">
        <f>E99/(1+Input!$D$311)^3</f>
        <v>0</v>
      </c>
      <c r="F106" s="31">
        <f>F99/(1+Input!$D$311)^4</f>
        <v>10704.111519500579</v>
      </c>
      <c r="G106" s="31">
        <f>G99/(1+Input!$D$311)^5</f>
        <v>11382.908835371351</v>
      </c>
      <c r="H106" s="31">
        <f>H99/(1+Input!$D$311)^6</f>
        <v>12104.751834687584</v>
      </c>
      <c r="I106" s="31">
        <f>I99/(1+Input!$D$311)^7</f>
        <v>12872.370243716554</v>
      </c>
      <c r="J106" s="31">
        <f>J99/(1+Input!$D$311)^8</f>
        <v>13688.666893318092</v>
      </c>
      <c r="K106" s="31">
        <f>K99/(1+Input!$D$311)^9</f>
        <v>14556.728696309005</v>
      </c>
      <c r="L106" s="31">
        <f>L99/(1+Input!$D$311)^10</f>
        <v>0</v>
      </c>
      <c r="M106" s="31">
        <f>M99/(1+Input!$D$311)^11</f>
        <v>0</v>
      </c>
      <c r="N106" s="31">
        <f>N99/(1+Input!$D$311)^12</f>
        <v>0</v>
      </c>
      <c r="O106" s="31"/>
      <c r="P106" s="31"/>
      <c r="Q106" s="31"/>
      <c r="R106" s="31"/>
      <c r="S106" s="11">
        <f t="shared" si="45"/>
        <v>75309.538022903173</v>
      </c>
    </row>
    <row r="107" spans="1:20">
      <c r="A107" s="6" t="s">
        <v>47</v>
      </c>
      <c r="B107" s="58">
        <f t="shared" ref="B107:D107" si="47">B105+B106</f>
        <v>0</v>
      </c>
      <c r="C107" s="58">
        <f t="shared" si="47"/>
        <v>0</v>
      </c>
      <c r="D107" s="58">
        <f t="shared" si="47"/>
        <v>0</v>
      </c>
      <c r="E107" s="58">
        <f>E105+E106</f>
        <v>0</v>
      </c>
      <c r="F107" s="58">
        <f>F105+F106</f>
        <v>17951.866615808856</v>
      </c>
      <c r="G107" s="58">
        <f>G105+G106</f>
        <v>17514.016210545229</v>
      </c>
      <c r="H107" s="58">
        <f>H105+H106</f>
        <v>17086.84508345876</v>
      </c>
      <c r="I107" s="58">
        <f t="shared" ref="I107:N107" si="48">I105+I106</f>
        <v>16670.092764350011</v>
      </c>
      <c r="J107" s="58">
        <f t="shared" si="48"/>
        <v>16263.505135951227</v>
      </c>
      <c r="K107" s="58">
        <f t="shared" si="48"/>
        <v>15866.834278976816</v>
      </c>
      <c r="L107" s="58">
        <f t="shared" si="48"/>
        <v>0</v>
      </c>
      <c r="M107" s="58">
        <f t="shared" si="48"/>
        <v>0</v>
      </c>
      <c r="N107" s="58">
        <f t="shared" si="48"/>
        <v>0</v>
      </c>
      <c r="O107" s="58"/>
      <c r="P107" s="58"/>
      <c r="Q107" s="58"/>
      <c r="R107" s="58"/>
      <c r="S107" s="59">
        <f>SUM(B107:R107)</f>
        <v>101353.1600890909</v>
      </c>
    </row>
    <row r="108" spans="1:20">
      <c r="A108" s="69"/>
      <c r="B108" s="94"/>
      <c r="C108" s="94"/>
      <c r="D108" s="94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1"/>
    </row>
    <row r="110" spans="1:20">
      <c r="A110" s="12"/>
      <c r="B110" s="12"/>
      <c r="C110" s="12"/>
      <c r="D110" s="12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4"/>
    </row>
    <row r="111" spans="1:20">
      <c r="A111" s="13" t="s">
        <v>0</v>
      </c>
      <c r="B111" s="77"/>
      <c r="C111" s="77"/>
      <c r="D111" s="7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5"/>
    </row>
    <row r="112" spans="1:20">
      <c r="A112" s="16" t="str">
        <f>Title!$F$10</f>
        <v>ARTHUR RIVER MAGNESITE PROJECT</v>
      </c>
      <c r="B112" s="78"/>
      <c r="C112" s="78"/>
      <c r="D112" s="78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</row>
    <row r="113" spans="1:20">
      <c r="A113" s="16" t="str">
        <f>Title!$F$12</f>
        <v>ORDER OF MAGNITUDE COST STUDY: CALCINE PRODUCTION ONLY</v>
      </c>
      <c r="B113" s="78"/>
      <c r="C113" s="78"/>
      <c r="D113" s="78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</row>
    <row r="114" spans="1:20">
      <c r="A114" s="19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 t="str">
        <f>Title!$F$19</f>
        <v>3 October 2011</v>
      </c>
      <c r="S114" s="18"/>
    </row>
    <row r="115" spans="1:20">
      <c r="A115" s="20" t="s">
        <v>486</v>
      </c>
      <c r="B115" s="79"/>
      <c r="C115" s="79"/>
      <c r="D115" s="79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</row>
    <row r="116" spans="1:20">
      <c r="A116" s="38"/>
      <c r="B116" s="41" t="s">
        <v>26</v>
      </c>
      <c r="C116" s="41" t="s">
        <v>26</v>
      </c>
      <c r="D116" s="41" t="s">
        <v>26</v>
      </c>
      <c r="E116" s="41" t="s">
        <v>26</v>
      </c>
      <c r="F116" s="41" t="s">
        <v>26</v>
      </c>
      <c r="G116" s="41" t="s">
        <v>26</v>
      </c>
      <c r="H116" s="41" t="s">
        <v>26</v>
      </c>
      <c r="I116" s="41" t="s">
        <v>26</v>
      </c>
      <c r="J116" s="41" t="s">
        <v>26</v>
      </c>
      <c r="K116" s="41" t="s">
        <v>26</v>
      </c>
      <c r="L116" s="41" t="s">
        <v>26</v>
      </c>
      <c r="M116" s="41" t="s">
        <v>26</v>
      </c>
      <c r="N116" s="41" t="s">
        <v>26</v>
      </c>
      <c r="O116" s="41" t="s">
        <v>26</v>
      </c>
      <c r="P116" s="41" t="s">
        <v>26</v>
      </c>
      <c r="Q116" s="41" t="s">
        <v>26</v>
      </c>
      <c r="R116" s="41"/>
      <c r="S116" s="42" t="s">
        <v>5</v>
      </c>
      <c r="T116" s="53" t="s">
        <v>32</v>
      </c>
    </row>
    <row r="117" spans="1:20">
      <c r="A117" s="8"/>
      <c r="B117" s="43">
        <v>-3</v>
      </c>
      <c r="C117" s="43">
        <v>-2</v>
      </c>
      <c r="D117" s="43">
        <v>-1</v>
      </c>
      <c r="E117" s="43">
        <v>1</v>
      </c>
      <c r="F117" s="43">
        <v>2</v>
      </c>
      <c r="G117" s="43">
        <v>3</v>
      </c>
      <c r="H117" s="43">
        <v>4</v>
      </c>
      <c r="I117" s="43">
        <v>5</v>
      </c>
      <c r="J117" s="43">
        <v>6</v>
      </c>
      <c r="K117" s="43">
        <v>7</v>
      </c>
      <c r="L117" s="43">
        <v>8</v>
      </c>
      <c r="M117" s="43">
        <v>9</v>
      </c>
      <c r="N117" s="43">
        <v>10</v>
      </c>
      <c r="O117" s="43">
        <v>11</v>
      </c>
      <c r="P117" s="43">
        <v>12</v>
      </c>
      <c r="Q117" s="43">
        <v>13</v>
      </c>
      <c r="R117" s="43"/>
      <c r="S117" s="8"/>
    </row>
    <row r="118" spans="1:20">
      <c r="A118" s="60"/>
      <c r="B118" s="88"/>
      <c r="C118" s="88"/>
      <c r="D118" s="88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38"/>
    </row>
    <row r="119" spans="1:20">
      <c r="A119" s="6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11"/>
    </row>
    <row r="120" spans="1:20">
      <c r="A120" s="6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11"/>
    </row>
    <row r="121" spans="1:20">
      <c r="A121" s="6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11"/>
    </row>
    <row r="122" spans="1:20">
      <c r="A122" s="39"/>
      <c r="B122" s="85"/>
      <c r="C122" s="85"/>
      <c r="D122" s="85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11"/>
    </row>
    <row r="123" spans="1:20">
      <c r="A123" s="6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11"/>
      <c r="T123" s="50"/>
    </row>
    <row r="124" spans="1:20">
      <c r="A124" s="6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11"/>
    </row>
    <row r="125" spans="1:20">
      <c r="A125" s="6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11"/>
    </row>
    <row r="126" spans="1:20">
      <c r="A126" s="39"/>
      <c r="B126" s="85"/>
      <c r="C126" s="85"/>
      <c r="D126" s="85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11"/>
    </row>
    <row r="127" spans="1:20">
      <c r="A127" s="6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11"/>
    </row>
    <row r="128" spans="1:20">
      <c r="A128" s="65"/>
      <c r="B128" s="93"/>
      <c r="C128" s="93"/>
      <c r="D128" s="93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11"/>
    </row>
    <row r="129" spans="1:19">
      <c r="A129" s="6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11"/>
    </row>
    <row r="130" spans="1:19">
      <c r="A130" s="6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11"/>
    </row>
    <row r="131" spans="1:19">
      <c r="A131" s="6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11"/>
    </row>
    <row r="132" spans="1:19">
      <c r="A132" s="6"/>
      <c r="B132" s="4"/>
      <c r="C132" s="4"/>
      <c r="D132" s="4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11"/>
    </row>
    <row r="133" spans="1:19">
      <c r="A133" s="6"/>
      <c r="B133" s="4"/>
      <c r="C133" s="4"/>
      <c r="D133" s="4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11"/>
    </row>
    <row r="134" spans="1:19">
      <c r="A134" s="6"/>
      <c r="B134" s="4"/>
      <c r="C134" s="4"/>
      <c r="D134" s="4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11"/>
    </row>
    <row r="135" spans="1:19">
      <c r="A135" s="6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11"/>
    </row>
    <row r="136" spans="1:19">
      <c r="A136" s="65"/>
      <c r="B136" s="93"/>
      <c r="C136" s="93"/>
      <c r="D136" s="93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11"/>
    </row>
    <row r="137" spans="1:19">
      <c r="A137" s="6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11"/>
    </row>
    <row r="138" spans="1:19">
      <c r="A138" s="6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11"/>
    </row>
    <row r="139" spans="1:19">
      <c r="A139" s="6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11"/>
    </row>
    <row r="140" spans="1:19">
      <c r="A140" s="6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11"/>
    </row>
    <row r="141" spans="1:19">
      <c r="A141" s="6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9">
        <f>SUM(B141:R141)</f>
        <v>0</v>
      </c>
    </row>
    <row r="142" spans="1:19">
      <c r="A142" s="69"/>
      <c r="B142" s="94"/>
      <c r="C142" s="94"/>
      <c r="D142" s="94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1"/>
    </row>
    <row r="145" spans="1:20">
      <c r="A145" s="13" t="s">
        <v>0</v>
      </c>
      <c r="B145" s="77"/>
      <c r="C145" s="77"/>
      <c r="D145" s="7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"/>
    </row>
    <row r="146" spans="1:20">
      <c r="A146" s="16" t="str">
        <f>Title!$F$10</f>
        <v>ARTHUR RIVER MAGNESITE PROJECT</v>
      </c>
      <c r="B146" s="78"/>
      <c r="C146" s="78"/>
      <c r="D146" s="7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</row>
    <row r="147" spans="1:20">
      <c r="A147" s="16" t="str">
        <f>Title!$F$12</f>
        <v>ORDER OF MAGNITUDE COST STUDY: CALCINE PRODUCTION ONLY</v>
      </c>
      <c r="B147" s="78"/>
      <c r="C147" s="78"/>
      <c r="D147" s="7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</row>
    <row r="148" spans="1:20">
      <c r="A148" s="19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 t="str">
        <f>Title!$F$19</f>
        <v>3 October 2011</v>
      </c>
      <c r="S148" s="18"/>
    </row>
    <row r="149" spans="1:20">
      <c r="A149" s="20" t="s">
        <v>145</v>
      </c>
      <c r="B149" s="79"/>
      <c r="C149" s="79"/>
      <c r="D149" s="79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</row>
    <row r="150" spans="1:20">
      <c r="A150" s="38"/>
      <c r="B150" s="41" t="s">
        <v>26</v>
      </c>
      <c r="C150" s="41" t="s">
        <v>26</v>
      </c>
      <c r="D150" s="41" t="s">
        <v>26</v>
      </c>
      <c r="E150" s="41" t="s">
        <v>26</v>
      </c>
      <c r="F150" s="41" t="s">
        <v>26</v>
      </c>
      <c r="G150" s="41" t="s">
        <v>26</v>
      </c>
      <c r="H150" s="41" t="s">
        <v>26</v>
      </c>
      <c r="I150" s="41" t="s">
        <v>26</v>
      </c>
      <c r="J150" s="41" t="s">
        <v>26</v>
      </c>
      <c r="K150" s="41" t="s">
        <v>26</v>
      </c>
      <c r="L150" s="41" t="s">
        <v>26</v>
      </c>
      <c r="M150" s="41" t="s">
        <v>26</v>
      </c>
      <c r="N150" s="41" t="s">
        <v>26</v>
      </c>
      <c r="O150" s="41" t="s">
        <v>26</v>
      </c>
      <c r="P150" s="41" t="s">
        <v>26</v>
      </c>
      <c r="Q150" s="41" t="s">
        <v>26</v>
      </c>
      <c r="R150" s="41"/>
      <c r="S150" s="42" t="s">
        <v>5</v>
      </c>
      <c r="T150" s="53" t="s">
        <v>32</v>
      </c>
    </row>
    <row r="151" spans="1:20">
      <c r="A151" s="8"/>
      <c r="B151" s="43">
        <v>-3</v>
      </c>
      <c r="C151" s="43">
        <v>-2</v>
      </c>
      <c r="D151" s="43">
        <v>-1</v>
      </c>
      <c r="E151" s="43">
        <v>1</v>
      </c>
      <c r="F151" s="43">
        <v>2</v>
      </c>
      <c r="G151" s="43">
        <v>3</v>
      </c>
      <c r="H151" s="43">
        <v>4</v>
      </c>
      <c r="I151" s="43">
        <v>5</v>
      </c>
      <c r="J151" s="43">
        <v>6</v>
      </c>
      <c r="K151" s="43">
        <v>7</v>
      </c>
      <c r="L151" s="43">
        <v>8</v>
      </c>
      <c r="M151" s="43">
        <v>9</v>
      </c>
      <c r="N151" s="43">
        <v>10</v>
      </c>
      <c r="O151" s="43">
        <v>11</v>
      </c>
      <c r="P151" s="43">
        <v>12</v>
      </c>
      <c r="Q151" s="43">
        <v>13</v>
      </c>
      <c r="R151" s="43"/>
      <c r="S151" s="8"/>
    </row>
    <row r="152" spans="1:20">
      <c r="A152" s="60" t="s">
        <v>102</v>
      </c>
      <c r="B152" s="88"/>
      <c r="C152" s="88"/>
      <c r="D152" s="88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8"/>
    </row>
    <row r="153" spans="1:20">
      <c r="A153" s="39" t="s">
        <v>57</v>
      </c>
      <c r="B153" s="85"/>
      <c r="C153" s="85"/>
      <c r="D153" s="8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6"/>
    </row>
    <row r="154" spans="1:20">
      <c r="A154" s="6" t="s">
        <v>58</v>
      </c>
      <c r="B154" s="31">
        <f t="shared" ref="B154:N154" si="49">B16</f>
        <v>0</v>
      </c>
      <c r="C154" s="31">
        <f t="shared" si="49"/>
        <v>0</v>
      </c>
      <c r="D154" s="31">
        <f t="shared" si="49"/>
        <v>0</v>
      </c>
      <c r="E154" s="31">
        <f t="shared" si="49"/>
        <v>45760.656906250006</v>
      </c>
      <c r="F154" s="31">
        <f t="shared" si="49"/>
        <v>64999.999999999993</v>
      </c>
      <c r="G154" s="31">
        <f t="shared" si="49"/>
        <v>64999.999999999993</v>
      </c>
      <c r="H154" s="31">
        <f t="shared" si="49"/>
        <v>65000</v>
      </c>
      <c r="I154" s="31">
        <f t="shared" si="49"/>
        <v>65000</v>
      </c>
      <c r="J154" s="31">
        <f t="shared" si="49"/>
        <v>65000</v>
      </c>
      <c r="K154" s="31">
        <f t="shared" si="49"/>
        <v>64999.999999999993</v>
      </c>
      <c r="L154" s="31">
        <f t="shared" si="49"/>
        <v>64999.999999999993</v>
      </c>
      <c r="M154" s="31">
        <f t="shared" si="49"/>
        <v>65000</v>
      </c>
      <c r="N154" s="31">
        <f t="shared" si="49"/>
        <v>65000</v>
      </c>
      <c r="O154" s="31">
        <f t="shared" ref="O154:Q154" si="50">O16</f>
        <v>65000</v>
      </c>
      <c r="P154" s="31">
        <f t="shared" si="50"/>
        <v>65000</v>
      </c>
      <c r="Q154" s="31">
        <f t="shared" si="50"/>
        <v>111540.69154617985</v>
      </c>
      <c r="R154" s="31"/>
      <c r="S154" s="11">
        <f>SUM(B154:R154)</f>
        <v>872301.34845242975</v>
      </c>
      <c r="T154" s="2">
        <f>S16</f>
        <v>872301.34845242975</v>
      </c>
    </row>
    <row r="155" spans="1:20">
      <c r="A155" s="39" t="s">
        <v>59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6"/>
    </row>
    <row r="156" spans="1:20">
      <c r="A156" s="6" t="s">
        <v>60</v>
      </c>
      <c r="B156" s="31">
        <f>Costs!B39</f>
        <v>2200</v>
      </c>
      <c r="C156" s="31">
        <f>Costs!C39</f>
        <v>26780</v>
      </c>
      <c r="D156" s="31">
        <f>Costs!D39</f>
        <v>72672</v>
      </c>
      <c r="E156" s="31">
        <f>Costs!E39</f>
        <v>2260</v>
      </c>
      <c r="F156" s="31">
        <f>Costs!F39</f>
        <v>2260</v>
      </c>
      <c r="G156" s="31">
        <f>Costs!G39</f>
        <v>2260</v>
      </c>
      <c r="H156" s="31">
        <f>Costs!H39</f>
        <v>2160</v>
      </c>
      <c r="I156" s="31">
        <f>Costs!I39</f>
        <v>2160</v>
      </c>
      <c r="J156" s="31">
        <f>Costs!J39</f>
        <v>2160</v>
      </c>
      <c r="K156" s="31">
        <f>Costs!K39</f>
        <v>2160</v>
      </c>
      <c r="L156" s="31">
        <f>Costs!L39</f>
        <v>2160</v>
      </c>
      <c r="M156" s="31">
        <f>Costs!M39</f>
        <v>2160</v>
      </c>
      <c r="N156" s="31">
        <f>Costs!N39</f>
        <v>2160</v>
      </c>
      <c r="O156" s="31">
        <f>Costs!O39</f>
        <v>2160</v>
      </c>
      <c r="P156" s="31">
        <f>Costs!P39</f>
        <v>1080</v>
      </c>
      <c r="Q156" s="31">
        <f>Costs!Q39</f>
        <v>0</v>
      </c>
      <c r="R156" s="31"/>
      <c r="S156" s="11">
        <f t="shared" ref="S156:S161" si="51">SUM(B156:R156)</f>
        <v>126792</v>
      </c>
      <c r="T156" s="2">
        <f>Costs!S39</f>
        <v>126792</v>
      </c>
    </row>
    <row r="157" spans="1:20">
      <c r="A157" s="5" t="s">
        <v>123</v>
      </c>
      <c r="B157" s="31">
        <f>Costs!B219</f>
        <v>0</v>
      </c>
      <c r="C157" s="31">
        <f>Costs!C219</f>
        <v>0</v>
      </c>
      <c r="D157" s="31">
        <f>Costs!D219</f>
        <v>8999.9891447490882</v>
      </c>
      <c r="E157" s="31">
        <f>Costs!E219</f>
        <v>25367.361668316538</v>
      </c>
      <c r="F157" s="31">
        <f>Costs!F219</f>
        <v>28620.793585563879</v>
      </c>
      <c r="G157" s="31">
        <f>Costs!G219</f>
        <v>28368.658593218683</v>
      </c>
      <c r="H157" s="31">
        <f>Costs!H219</f>
        <v>26889.05695133398</v>
      </c>
      <c r="I157" s="31">
        <f>Costs!I219</f>
        <v>26681.070746743964</v>
      </c>
      <c r="J157" s="31">
        <f>Costs!J219</f>
        <v>26535.272159354601</v>
      </c>
      <c r="K157" s="31">
        <f>Costs!K219</f>
        <v>26610.910109546101</v>
      </c>
      <c r="L157" s="31">
        <f>Costs!L219</f>
        <v>26504.314091434906</v>
      </c>
      <c r="M157" s="31">
        <f>Costs!M219</f>
        <v>26362.920205771592</v>
      </c>
      <c r="N157" s="31">
        <f>Costs!N219</f>
        <v>23354.066002441858</v>
      </c>
      <c r="O157" s="31">
        <f>Costs!O219</f>
        <v>23108.195103932438</v>
      </c>
      <c r="P157" s="31">
        <f>Costs!P219</f>
        <v>23200.036675745177</v>
      </c>
      <c r="Q157" s="31">
        <f>Costs!Q219</f>
        <v>33766.142658600875</v>
      </c>
      <c r="R157" s="31"/>
      <c r="S157" s="11">
        <f t="shared" si="51"/>
        <v>354368.78769675369</v>
      </c>
      <c r="T157" s="2">
        <f>Costs!S219</f>
        <v>354368.78769675369</v>
      </c>
    </row>
    <row r="158" spans="1:20">
      <c r="A158" s="5" t="s">
        <v>132</v>
      </c>
      <c r="B158" s="31">
        <f t="shared" ref="B158:N158" si="52">B22</f>
        <v>0</v>
      </c>
      <c r="C158" s="31">
        <f t="shared" si="52"/>
        <v>0</v>
      </c>
      <c r="D158" s="31">
        <f t="shared" si="52"/>
        <v>0</v>
      </c>
      <c r="E158" s="31">
        <f t="shared" si="52"/>
        <v>3316.2782353062503</v>
      </c>
      <c r="F158" s="31">
        <f t="shared" si="52"/>
        <v>3996.9999999999995</v>
      </c>
      <c r="G158" s="31">
        <f t="shared" si="52"/>
        <v>3996.9999999999995</v>
      </c>
      <c r="H158" s="31">
        <f t="shared" si="52"/>
        <v>3997</v>
      </c>
      <c r="I158" s="31">
        <f t="shared" si="52"/>
        <v>3997</v>
      </c>
      <c r="J158" s="31">
        <f t="shared" si="52"/>
        <v>3997</v>
      </c>
      <c r="K158" s="31">
        <f t="shared" si="52"/>
        <v>3996.9999999999995</v>
      </c>
      <c r="L158" s="31">
        <f t="shared" si="52"/>
        <v>3996.9999999999995</v>
      </c>
      <c r="M158" s="31">
        <f t="shared" si="52"/>
        <v>3997</v>
      </c>
      <c r="N158" s="31">
        <f t="shared" si="52"/>
        <v>3997</v>
      </c>
      <c r="O158" s="31">
        <f t="shared" ref="O158:Q158" si="53">O22</f>
        <v>3997</v>
      </c>
      <c r="P158" s="31">
        <f t="shared" si="53"/>
        <v>3997</v>
      </c>
      <c r="Q158" s="31">
        <f t="shared" si="53"/>
        <v>5726.5135660124779</v>
      </c>
      <c r="R158" s="31"/>
      <c r="S158" s="11">
        <f t="shared" si="51"/>
        <v>53009.79180131873</v>
      </c>
      <c r="T158" s="2">
        <f>S22</f>
        <v>53009.79180131873</v>
      </c>
    </row>
    <row r="159" spans="1:20">
      <c r="A159" s="5" t="s">
        <v>153</v>
      </c>
      <c r="B159" s="31">
        <f t="shared" ref="B159:N159" si="54">B32</f>
        <v>0</v>
      </c>
      <c r="C159" s="31">
        <f t="shared" si="54"/>
        <v>0</v>
      </c>
      <c r="D159" s="31">
        <f t="shared" si="54"/>
        <v>0</v>
      </c>
      <c r="E159" s="31">
        <f t="shared" si="54"/>
        <v>186.15863116222678</v>
      </c>
      <c r="F159" s="31">
        <f t="shared" si="54"/>
        <v>238.80839387623638</v>
      </c>
      <c r="G159" s="31">
        <f t="shared" si="54"/>
        <v>238.80839387623638</v>
      </c>
      <c r="H159" s="31">
        <f t="shared" si="54"/>
        <v>238.80839387623638</v>
      </c>
      <c r="I159" s="31">
        <f t="shared" si="54"/>
        <v>238.80839387623638</v>
      </c>
      <c r="J159" s="31">
        <f t="shared" si="54"/>
        <v>238.80839387623638</v>
      </c>
      <c r="K159" s="31">
        <f t="shared" si="54"/>
        <v>238.80839387623638</v>
      </c>
      <c r="L159" s="31">
        <f t="shared" si="54"/>
        <v>238.80839387623638</v>
      </c>
      <c r="M159" s="31">
        <f t="shared" si="54"/>
        <v>238.80839387623638</v>
      </c>
      <c r="N159" s="31">
        <f t="shared" si="54"/>
        <v>238.80839387623638</v>
      </c>
      <c r="O159" s="31">
        <f t="shared" ref="O159:Q159" si="55">O32</f>
        <v>238.80839387623638</v>
      </c>
      <c r="P159" s="31">
        <f t="shared" si="55"/>
        <v>238.80839387623638</v>
      </c>
      <c r="Q159" s="31">
        <f t="shared" si="55"/>
        <v>391.76263619917279</v>
      </c>
      <c r="R159" s="31"/>
      <c r="S159" s="11">
        <f t="shared" si="51"/>
        <v>3204.8136</v>
      </c>
      <c r="T159" s="2">
        <f>S32</f>
        <v>3204.8136</v>
      </c>
    </row>
    <row r="160" spans="1:20">
      <c r="A160" s="5" t="s">
        <v>485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11">
        <f t="shared" si="51"/>
        <v>0</v>
      </c>
      <c r="T160" s="2"/>
    </row>
    <row r="161" spans="1:20">
      <c r="A161" s="5" t="s">
        <v>5</v>
      </c>
      <c r="B161" s="31">
        <f>SUM(B156:B160)</f>
        <v>2200</v>
      </c>
      <c r="C161" s="31">
        <f t="shared" ref="C161:Q161" si="56">SUM(C156:C160)</f>
        <v>26780</v>
      </c>
      <c r="D161" s="31">
        <f t="shared" si="56"/>
        <v>81671.989144749095</v>
      </c>
      <c r="E161" s="31">
        <f t="shared" si="56"/>
        <v>31129.798534785015</v>
      </c>
      <c r="F161" s="31">
        <f t="shared" si="56"/>
        <v>35116.601979440115</v>
      </c>
      <c r="G161" s="31">
        <f t="shared" si="56"/>
        <v>34864.466987094915</v>
      </c>
      <c r="H161" s="31">
        <f t="shared" si="56"/>
        <v>33284.865345210215</v>
      </c>
      <c r="I161" s="31">
        <f t="shared" si="56"/>
        <v>33076.8791406202</v>
      </c>
      <c r="J161" s="31">
        <f t="shared" si="56"/>
        <v>32931.080553230837</v>
      </c>
      <c r="K161" s="31">
        <f t="shared" si="56"/>
        <v>33006.718503422337</v>
      </c>
      <c r="L161" s="31">
        <f t="shared" si="56"/>
        <v>32900.122485311142</v>
      </c>
      <c r="M161" s="31">
        <f t="shared" si="56"/>
        <v>32758.728599647828</v>
      </c>
      <c r="N161" s="31">
        <f t="shared" si="56"/>
        <v>29749.874396318093</v>
      </c>
      <c r="O161" s="31">
        <f t="shared" si="56"/>
        <v>29504.003497808673</v>
      </c>
      <c r="P161" s="31">
        <f t="shared" si="56"/>
        <v>28515.845069621413</v>
      </c>
      <c r="Q161" s="31">
        <f t="shared" si="56"/>
        <v>39884.418860812526</v>
      </c>
      <c r="R161" s="31"/>
      <c r="S161" s="11">
        <f t="shared" si="51"/>
        <v>537375.39309807238</v>
      </c>
      <c r="T161" s="2"/>
    </row>
    <row r="162" spans="1:20">
      <c r="A162" s="39" t="s">
        <v>61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6"/>
    </row>
    <row r="163" spans="1:20">
      <c r="A163" s="6" t="s">
        <v>101</v>
      </c>
      <c r="B163" s="58">
        <f t="shared" ref="B163:N163" si="57">B154-B161</f>
        <v>-2200</v>
      </c>
      <c r="C163" s="58">
        <f t="shared" si="57"/>
        <v>-26780</v>
      </c>
      <c r="D163" s="58">
        <f t="shared" si="57"/>
        <v>-81671.989144749095</v>
      </c>
      <c r="E163" s="58">
        <f t="shared" si="57"/>
        <v>14630.85837146499</v>
      </c>
      <c r="F163" s="58">
        <f t="shared" si="57"/>
        <v>29883.398020559878</v>
      </c>
      <c r="G163" s="58">
        <f t="shared" si="57"/>
        <v>30135.533012905078</v>
      </c>
      <c r="H163" s="58">
        <f t="shared" si="57"/>
        <v>31715.134654789785</v>
      </c>
      <c r="I163" s="58">
        <f t="shared" si="57"/>
        <v>31923.1208593798</v>
      </c>
      <c r="J163" s="58">
        <f t="shared" si="57"/>
        <v>32068.919446769163</v>
      </c>
      <c r="K163" s="58">
        <f t="shared" si="57"/>
        <v>31993.281496577656</v>
      </c>
      <c r="L163" s="58">
        <f t="shared" si="57"/>
        <v>32099.877514688851</v>
      </c>
      <c r="M163" s="58">
        <f t="shared" si="57"/>
        <v>32241.271400352172</v>
      </c>
      <c r="N163" s="58">
        <f t="shared" si="57"/>
        <v>35250.12560368191</v>
      </c>
      <c r="O163" s="58">
        <f t="shared" ref="O163:Q163" si="58">O154-O161</f>
        <v>35495.996502191323</v>
      </c>
      <c r="P163" s="58">
        <f t="shared" si="58"/>
        <v>36484.154930378587</v>
      </c>
      <c r="Q163" s="58">
        <f t="shared" si="58"/>
        <v>71656.272685367323</v>
      </c>
      <c r="R163" s="58"/>
      <c r="S163" s="59">
        <f>SUM(B163:R163)</f>
        <v>334925.95535435743</v>
      </c>
    </row>
    <row r="164" spans="1:20">
      <c r="A164" s="6"/>
      <c r="B164" s="4"/>
      <c r="C164" s="4"/>
      <c r="D164" s="4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11"/>
    </row>
    <row r="165" spans="1:20">
      <c r="A165" s="39" t="s">
        <v>107</v>
      </c>
      <c r="B165" s="85"/>
      <c r="C165" s="85"/>
      <c r="D165" s="85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11"/>
    </row>
    <row r="166" spans="1:20">
      <c r="A166" s="39" t="s">
        <v>62</v>
      </c>
      <c r="B166" s="85"/>
      <c r="C166" s="85"/>
      <c r="D166" s="85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11"/>
    </row>
    <row r="167" spans="1:20">
      <c r="A167" s="5" t="s">
        <v>54</v>
      </c>
      <c r="B167" s="31">
        <f>MAX(B154-B157-B158-B159,0)</f>
        <v>0</v>
      </c>
      <c r="C167" s="31">
        <f t="shared" ref="C167:N167" si="59">MAX(C154-C157-C158-C159,0)</f>
        <v>0</v>
      </c>
      <c r="D167" s="31">
        <f t="shared" si="59"/>
        <v>0</v>
      </c>
      <c r="E167" s="31">
        <f t="shared" si="59"/>
        <v>16890.85837146499</v>
      </c>
      <c r="F167" s="31">
        <f t="shared" si="59"/>
        <v>32143.398020559878</v>
      </c>
      <c r="G167" s="31">
        <f t="shared" si="59"/>
        <v>32395.533012905078</v>
      </c>
      <c r="H167" s="31">
        <f t="shared" si="59"/>
        <v>33875.134654789785</v>
      </c>
      <c r="I167" s="31">
        <f t="shared" si="59"/>
        <v>34083.1208593798</v>
      </c>
      <c r="J167" s="31">
        <f t="shared" si="59"/>
        <v>34228.919446769163</v>
      </c>
      <c r="K167" s="31">
        <f t="shared" si="59"/>
        <v>34153.281496577656</v>
      </c>
      <c r="L167" s="31">
        <f t="shared" si="59"/>
        <v>34259.877514688851</v>
      </c>
      <c r="M167" s="31">
        <f t="shared" si="59"/>
        <v>34401.271400352176</v>
      </c>
      <c r="N167" s="31">
        <f t="shared" si="59"/>
        <v>37410.125603681903</v>
      </c>
      <c r="O167" s="31">
        <f t="shared" ref="O167:Q167" si="60">MAX(O154-O157-O158-O159,0)</f>
        <v>37655.99650219133</v>
      </c>
      <c r="P167" s="31">
        <f t="shared" si="60"/>
        <v>37564.154930378587</v>
      </c>
      <c r="Q167" s="31">
        <f t="shared" si="60"/>
        <v>71656.272685367323</v>
      </c>
      <c r="R167" s="31"/>
      <c r="S167" s="11">
        <f>SUM(B167:R167)</f>
        <v>470717.94449910655</v>
      </c>
    </row>
    <row r="168" spans="1:20">
      <c r="A168" s="39" t="s">
        <v>63</v>
      </c>
      <c r="B168" s="85"/>
      <c r="C168" s="85"/>
      <c r="D168" s="85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11"/>
    </row>
    <row r="169" spans="1:20">
      <c r="A169" s="6" t="s">
        <v>103</v>
      </c>
      <c r="B169" s="31">
        <f t="shared" ref="B169:N169" si="61">B89</f>
        <v>2200</v>
      </c>
      <c r="C169" s="31">
        <f t="shared" si="61"/>
        <v>26780</v>
      </c>
      <c r="D169" s="31">
        <f t="shared" si="61"/>
        <v>12584.800000000003</v>
      </c>
      <c r="E169" s="31">
        <f t="shared" si="61"/>
        <v>0</v>
      </c>
      <c r="F169" s="31">
        <f t="shared" si="61"/>
        <v>0</v>
      </c>
      <c r="G169" s="31">
        <f t="shared" si="61"/>
        <v>0</v>
      </c>
      <c r="H169" s="31">
        <f t="shared" si="61"/>
        <v>0</v>
      </c>
      <c r="I169" s="31">
        <f t="shared" si="61"/>
        <v>0</v>
      </c>
      <c r="J169" s="31">
        <f t="shared" si="61"/>
        <v>0</v>
      </c>
      <c r="K169" s="31">
        <f t="shared" si="61"/>
        <v>0</v>
      </c>
      <c r="L169" s="31">
        <f t="shared" si="61"/>
        <v>0</v>
      </c>
      <c r="M169" s="31">
        <f t="shared" si="61"/>
        <v>0</v>
      </c>
      <c r="N169" s="31">
        <f t="shared" si="61"/>
        <v>0</v>
      </c>
      <c r="O169" s="31">
        <f t="shared" ref="O169:Q169" si="62">O89</f>
        <v>0</v>
      </c>
      <c r="P169" s="31">
        <f t="shared" si="62"/>
        <v>0</v>
      </c>
      <c r="Q169" s="31">
        <f t="shared" si="62"/>
        <v>0</v>
      </c>
      <c r="R169" s="31"/>
      <c r="S169" s="11">
        <f t="shared" ref="S169:S173" si="63">SUM(B169:R169)</f>
        <v>41564.800000000003</v>
      </c>
    </row>
    <row r="170" spans="1:20">
      <c r="A170" s="6" t="s">
        <v>104</v>
      </c>
      <c r="B170" s="31">
        <f t="shared" ref="B170:Q170" si="64">B156-B85</f>
        <v>0</v>
      </c>
      <c r="C170" s="31">
        <f t="shared" si="64"/>
        <v>0</v>
      </c>
      <c r="D170" s="31">
        <f t="shared" si="64"/>
        <v>0</v>
      </c>
      <c r="E170" s="31">
        <f t="shared" si="64"/>
        <v>0</v>
      </c>
      <c r="F170" s="31">
        <f t="shared" si="64"/>
        <v>2260</v>
      </c>
      <c r="G170" s="31">
        <f t="shared" si="64"/>
        <v>2260</v>
      </c>
      <c r="H170" s="31">
        <f t="shared" si="64"/>
        <v>2160</v>
      </c>
      <c r="I170" s="31">
        <f t="shared" si="64"/>
        <v>2160</v>
      </c>
      <c r="J170" s="31">
        <f t="shared" si="64"/>
        <v>2160</v>
      </c>
      <c r="K170" s="31">
        <f t="shared" si="64"/>
        <v>2160</v>
      </c>
      <c r="L170" s="31">
        <f t="shared" si="64"/>
        <v>2160</v>
      </c>
      <c r="M170" s="31">
        <f t="shared" si="64"/>
        <v>2160</v>
      </c>
      <c r="N170" s="31">
        <f t="shared" si="64"/>
        <v>2160</v>
      </c>
      <c r="O170" s="31">
        <f t="shared" si="64"/>
        <v>2160</v>
      </c>
      <c r="P170" s="31">
        <f t="shared" si="64"/>
        <v>1080</v>
      </c>
      <c r="Q170" s="31">
        <f t="shared" si="64"/>
        <v>0</v>
      </c>
      <c r="R170" s="31"/>
      <c r="S170" s="11">
        <f t="shared" si="63"/>
        <v>22880</v>
      </c>
    </row>
    <row r="171" spans="1:20">
      <c r="A171" s="6" t="s">
        <v>64</v>
      </c>
      <c r="B171" s="31"/>
      <c r="C171" s="31"/>
      <c r="D171" s="31"/>
      <c r="E171" s="31"/>
      <c r="F171" s="31">
        <f t="shared" ref="F171:N171" si="65">IF(F154&lt;F157,F157-F154,0)</f>
        <v>0</v>
      </c>
      <c r="G171" s="31">
        <f t="shared" si="65"/>
        <v>0</v>
      </c>
      <c r="H171" s="31">
        <f t="shared" si="65"/>
        <v>0</v>
      </c>
      <c r="I171" s="31">
        <f t="shared" si="65"/>
        <v>0</v>
      </c>
      <c r="J171" s="31">
        <f t="shared" si="65"/>
        <v>0</v>
      </c>
      <c r="K171" s="31">
        <f t="shared" si="65"/>
        <v>0</v>
      </c>
      <c r="L171" s="31">
        <f t="shared" si="65"/>
        <v>0</v>
      </c>
      <c r="M171" s="31">
        <f t="shared" si="65"/>
        <v>0</v>
      </c>
      <c r="N171" s="31">
        <f t="shared" si="65"/>
        <v>0</v>
      </c>
      <c r="O171" s="31">
        <f t="shared" ref="O171:Q171" si="66">IF(O154&lt;O157,O157-O154,0)</f>
        <v>0</v>
      </c>
      <c r="P171" s="31">
        <f t="shared" si="66"/>
        <v>0</v>
      </c>
      <c r="Q171" s="31">
        <f t="shared" si="66"/>
        <v>0</v>
      </c>
      <c r="R171" s="31"/>
      <c r="S171" s="11">
        <f t="shared" si="63"/>
        <v>0</v>
      </c>
    </row>
    <row r="172" spans="1:20">
      <c r="A172" s="5" t="s">
        <v>65</v>
      </c>
      <c r="B172" s="31">
        <f t="shared" ref="B172:N172" si="67">B107</f>
        <v>0</v>
      </c>
      <c r="C172" s="31">
        <f t="shared" si="67"/>
        <v>0</v>
      </c>
      <c r="D172" s="31">
        <f t="shared" si="67"/>
        <v>0</v>
      </c>
      <c r="E172" s="31">
        <f t="shared" si="67"/>
        <v>0</v>
      </c>
      <c r="F172" s="31">
        <f t="shared" si="67"/>
        <v>17951.866615808856</v>
      </c>
      <c r="G172" s="31">
        <f t="shared" si="67"/>
        <v>17514.016210545229</v>
      </c>
      <c r="H172" s="31">
        <f t="shared" si="67"/>
        <v>17086.84508345876</v>
      </c>
      <c r="I172" s="31">
        <f t="shared" si="67"/>
        <v>16670.092764350011</v>
      </c>
      <c r="J172" s="31">
        <f t="shared" si="67"/>
        <v>16263.505135951227</v>
      </c>
      <c r="K172" s="31">
        <f t="shared" si="67"/>
        <v>15866.834278976816</v>
      </c>
      <c r="L172" s="31">
        <f t="shared" si="67"/>
        <v>0</v>
      </c>
      <c r="M172" s="31">
        <f t="shared" si="67"/>
        <v>0</v>
      </c>
      <c r="N172" s="31">
        <f t="shared" si="67"/>
        <v>0</v>
      </c>
      <c r="O172" s="31">
        <f t="shared" ref="O172:Q172" si="68">O107</f>
        <v>0</v>
      </c>
      <c r="P172" s="31">
        <f t="shared" si="68"/>
        <v>0</v>
      </c>
      <c r="Q172" s="31">
        <f t="shared" si="68"/>
        <v>0</v>
      </c>
      <c r="R172" s="31"/>
      <c r="S172" s="11">
        <f t="shared" si="63"/>
        <v>101353.1600890909</v>
      </c>
    </row>
    <row r="173" spans="1:20">
      <c r="A173" s="5" t="s">
        <v>5</v>
      </c>
      <c r="B173" s="31">
        <f t="shared" ref="B173:N173" si="69">SUM(B169:B172)</f>
        <v>2200</v>
      </c>
      <c r="C173" s="31">
        <f t="shared" si="69"/>
        <v>26780</v>
      </c>
      <c r="D173" s="31">
        <f t="shared" si="69"/>
        <v>12584.800000000003</v>
      </c>
      <c r="E173" s="31">
        <f t="shared" si="69"/>
        <v>0</v>
      </c>
      <c r="F173" s="31">
        <f t="shared" si="69"/>
        <v>20211.866615808856</v>
      </c>
      <c r="G173" s="31">
        <f t="shared" si="69"/>
        <v>19774.016210545229</v>
      </c>
      <c r="H173" s="31">
        <f t="shared" si="69"/>
        <v>19246.84508345876</v>
      </c>
      <c r="I173" s="31">
        <f t="shared" si="69"/>
        <v>18830.092764350011</v>
      </c>
      <c r="J173" s="31">
        <f t="shared" si="69"/>
        <v>18423.505135951229</v>
      </c>
      <c r="K173" s="31">
        <f t="shared" si="69"/>
        <v>18026.834278976814</v>
      </c>
      <c r="L173" s="31">
        <f t="shared" si="69"/>
        <v>2160</v>
      </c>
      <c r="M173" s="31">
        <f t="shared" si="69"/>
        <v>2160</v>
      </c>
      <c r="N173" s="31">
        <f t="shared" si="69"/>
        <v>2160</v>
      </c>
      <c r="O173" s="31">
        <f t="shared" ref="O173:Q173" si="70">SUM(O169:O172)</f>
        <v>2160</v>
      </c>
      <c r="P173" s="31">
        <f t="shared" si="70"/>
        <v>1080</v>
      </c>
      <c r="Q173" s="31">
        <f t="shared" si="70"/>
        <v>0</v>
      </c>
      <c r="R173" s="31"/>
      <c r="S173" s="11">
        <f t="shared" si="63"/>
        <v>165797.96008909089</v>
      </c>
    </row>
    <row r="174" spans="1:20">
      <c r="A174" s="39" t="s">
        <v>66</v>
      </c>
      <c r="B174" s="85"/>
      <c r="C174" s="85"/>
      <c r="D174" s="85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11"/>
    </row>
    <row r="175" spans="1:20">
      <c r="A175" s="5" t="s">
        <v>67</v>
      </c>
      <c r="B175" s="31">
        <f t="shared" ref="B175:N175" si="71">MIN(B167-B173,0)</f>
        <v>-2200</v>
      </c>
      <c r="C175" s="31">
        <f t="shared" si="71"/>
        <v>-26780</v>
      </c>
      <c r="D175" s="31">
        <f t="shared" si="71"/>
        <v>-12584.800000000003</v>
      </c>
      <c r="E175" s="31">
        <f t="shared" si="71"/>
        <v>0</v>
      </c>
      <c r="F175" s="31">
        <f t="shared" si="71"/>
        <v>0</v>
      </c>
      <c r="G175" s="31">
        <f t="shared" si="71"/>
        <v>0</v>
      </c>
      <c r="H175" s="31">
        <f t="shared" si="71"/>
        <v>0</v>
      </c>
      <c r="I175" s="31">
        <f t="shared" si="71"/>
        <v>0</v>
      </c>
      <c r="J175" s="31">
        <f t="shared" si="71"/>
        <v>0</v>
      </c>
      <c r="K175" s="31">
        <f t="shared" si="71"/>
        <v>0</v>
      </c>
      <c r="L175" s="31">
        <f t="shared" si="71"/>
        <v>0</v>
      </c>
      <c r="M175" s="31">
        <f t="shared" si="71"/>
        <v>0</v>
      </c>
      <c r="N175" s="31">
        <f t="shared" si="71"/>
        <v>0</v>
      </c>
      <c r="O175" s="31">
        <f t="shared" ref="O175:Q175" si="72">MIN(O167-O173,0)</f>
        <v>0</v>
      </c>
      <c r="P175" s="31">
        <f t="shared" si="72"/>
        <v>0</v>
      </c>
      <c r="Q175" s="31">
        <f t="shared" si="72"/>
        <v>0</v>
      </c>
      <c r="R175" s="31"/>
      <c r="S175" s="11">
        <f t="shared" ref="S175:S176" si="73">SUM(B175:R175)</f>
        <v>-41564.800000000003</v>
      </c>
    </row>
    <row r="176" spans="1:20">
      <c r="A176" s="5" t="s">
        <v>68</v>
      </c>
      <c r="B176" s="31">
        <f t="shared" ref="B176:N176" si="74">MAX(B167-B173,0)</f>
        <v>0</v>
      </c>
      <c r="C176" s="31">
        <f t="shared" si="74"/>
        <v>0</v>
      </c>
      <c r="D176" s="31">
        <f t="shared" si="74"/>
        <v>0</v>
      </c>
      <c r="E176" s="31">
        <f t="shared" si="74"/>
        <v>16890.85837146499</v>
      </c>
      <c r="F176" s="31">
        <f t="shared" si="74"/>
        <v>11931.531404751022</v>
      </c>
      <c r="G176" s="31">
        <f t="shared" si="74"/>
        <v>12621.516802359849</v>
      </c>
      <c r="H176" s="31">
        <f t="shared" si="74"/>
        <v>14628.289571331024</v>
      </c>
      <c r="I176" s="31">
        <f t="shared" si="74"/>
        <v>15253.028095029789</v>
      </c>
      <c r="J176" s="31">
        <f t="shared" si="74"/>
        <v>15805.414310817934</v>
      </c>
      <c r="K176" s="31">
        <f t="shared" si="74"/>
        <v>16126.447217600842</v>
      </c>
      <c r="L176" s="31">
        <f t="shared" si="74"/>
        <v>32099.877514688851</v>
      </c>
      <c r="M176" s="31">
        <f t="shared" si="74"/>
        <v>32241.271400352176</v>
      </c>
      <c r="N176" s="31">
        <f t="shared" si="74"/>
        <v>35250.125603681903</v>
      </c>
      <c r="O176" s="31">
        <f t="shared" ref="O176:Q176" si="75">MAX(O167-O173,0)</f>
        <v>35495.99650219133</v>
      </c>
      <c r="P176" s="31">
        <f t="shared" si="75"/>
        <v>36484.154930378587</v>
      </c>
      <c r="Q176" s="31">
        <f t="shared" si="75"/>
        <v>71656.272685367323</v>
      </c>
      <c r="R176" s="31"/>
      <c r="S176" s="11">
        <f t="shared" si="73"/>
        <v>346484.78441001562</v>
      </c>
    </row>
    <row r="177" spans="1:20">
      <c r="A177" s="5" t="s">
        <v>69</v>
      </c>
      <c r="B177" s="58">
        <f t="shared" ref="B177:N177" si="76">B167-B173</f>
        <v>-2200</v>
      </c>
      <c r="C177" s="58">
        <f t="shared" si="76"/>
        <v>-26780</v>
      </c>
      <c r="D177" s="58">
        <f t="shared" si="76"/>
        <v>-12584.800000000003</v>
      </c>
      <c r="E177" s="58">
        <f t="shared" si="76"/>
        <v>16890.85837146499</v>
      </c>
      <c r="F177" s="58">
        <f t="shared" si="76"/>
        <v>11931.531404751022</v>
      </c>
      <c r="G177" s="58">
        <f t="shared" si="76"/>
        <v>12621.516802359849</v>
      </c>
      <c r="H177" s="58">
        <f t="shared" si="76"/>
        <v>14628.289571331024</v>
      </c>
      <c r="I177" s="58">
        <f t="shared" si="76"/>
        <v>15253.028095029789</v>
      </c>
      <c r="J177" s="58">
        <f t="shared" si="76"/>
        <v>15805.414310817934</v>
      </c>
      <c r="K177" s="58">
        <f t="shared" si="76"/>
        <v>16126.447217600842</v>
      </c>
      <c r="L177" s="58">
        <f t="shared" si="76"/>
        <v>32099.877514688851</v>
      </c>
      <c r="M177" s="58">
        <f t="shared" si="76"/>
        <v>32241.271400352176</v>
      </c>
      <c r="N177" s="58">
        <f t="shared" si="76"/>
        <v>35250.125603681903</v>
      </c>
      <c r="O177" s="58">
        <f t="shared" ref="O177:Q177" si="77">O167-O173</f>
        <v>35495.99650219133</v>
      </c>
      <c r="P177" s="58">
        <f t="shared" si="77"/>
        <v>36484.154930378587</v>
      </c>
      <c r="Q177" s="58">
        <f t="shared" si="77"/>
        <v>71656.272685367323</v>
      </c>
      <c r="R177" s="58"/>
      <c r="S177" s="59">
        <f>SUM(B177:R177)</f>
        <v>304919.98441001563</v>
      </c>
    </row>
    <row r="178" spans="1:20">
      <c r="A178" s="40" t="s">
        <v>70</v>
      </c>
      <c r="B178" s="119">
        <f>B177</f>
        <v>-2200</v>
      </c>
      <c r="C178" s="119">
        <f t="shared" ref="C178:N178" si="78">B178+C177</f>
        <v>-28980</v>
      </c>
      <c r="D178" s="119">
        <f t="shared" si="78"/>
        <v>-41564.800000000003</v>
      </c>
      <c r="E178" s="119">
        <f t="shared" si="78"/>
        <v>-24673.941628535013</v>
      </c>
      <c r="F178" s="119">
        <f t="shared" si="78"/>
        <v>-12742.410223783991</v>
      </c>
      <c r="G178" s="119">
        <f t="shared" si="78"/>
        <v>-120.89342142414171</v>
      </c>
      <c r="H178" s="119">
        <f t="shared" si="78"/>
        <v>14507.396149906883</v>
      </c>
      <c r="I178" s="119">
        <f t="shared" si="78"/>
        <v>29760.424244936672</v>
      </c>
      <c r="J178" s="119">
        <f t="shared" si="78"/>
        <v>45565.838555754606</v>
      </c>
      <c r="K178" s="119">
        <f t="shared" si="78"/>
        <v>61692.285773355448</v>
      </c>
      <c r="L178" s="119">
        <f t="shared" si="78"/>
        <v>93792.163288044307</v>
      </c>
      <c r="M178" s="119">
        <f t="shared" si="78"/>
        <v>126033.43468839649</v>
      </c>
      <c r="N178" s="119">
        <f t="shared" si="78"/>
        <v>161283.56029207839</v>
      </c>
      <c r="O178" s="119">
        <f t="shared" ref="O178" si="79">N178+O177</f>
        <v>196779.55679426971</v>
      </c>
      <c r="P178" s="119">
        <f t="shared" ref="P178" si="80">O178+P177</f>
        <v>233263.71172464831</v>
      </c>
      <c r="Q178" s="119">
        <f t="shared" ref="Q178" si="81">P178+Q177</f>
        <v>304919.98441001563</v>
      </c>
      <c r="R178" s="119"/>
      <c r="S178" s="11"/>
    </row>
    <row r="179" spans="1:20">
      <c r="A179" s="6"/>
      <c r="B179" s="4"/>
      <c r="C179" s="4"/>
      <c r="D179" s="4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11"/>
    </row>
    <row r="180" spans="1:20">
      <c r="A180" s="39" t="s">
        <v>71</v>
      </c>
      <c r="B180" s="85"/>
      <c r="C180" s="85"/>
      <c r="D180" s="8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6"/>
    </row>
    <row r="181" spans="1:20">
      <c r="A181" s="39" t="s">
        <v>72</v>
      </c>
      <c r="B181" s="85"/>
      <c r="C181" s="85"/>
      <c r="D181" s="8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6"/>
    </row>
    <row r="182" spans="1:20">
      <c r="A182" s="5" t="s">
        <v>65</v>
      </c>
      <c r="B182" s="31">
        <f t="shared" ref="B182:N182" si="82">B107</f>
        <v>0</v>
      </c>
      <c r="C182" s="31">
        <f t="shared" si="82"/>
        <v>0</v>
      </c>
      <c r="D182" s="31">
        <f t="shared" si="82"/>
        <v>0</v>
      </c>
      <c r="E182" s="31">
        <f t="shared" si="82"/>
        <v>0</v>
      </c>
      <c r="F182" s="31">
        <f t="shared" si="82"/>
        <v>17951.866615808856</v>
      </c>
      <c r="G182" s="31">
        <f t="shared" si="82"/>
        <v>17514.016210545229</v>
      </c>
      <c r="H182" s="31">
        <f t="shared" si="82"/>
        <v>17086.84508345876</v>
      </c>
      <c r="I182" s="31">
        <f t="shared" si="82"/>
        <v>16670.092764350011</v>
      </c>
      <c r="J182" s="31">
        <f t="shared" si="82"/>
        <v>16263.505135951227</v>
      </c>
      <c r="K182" s="31">
        <f t="shared" si="82"/>
        <v>15866.834278976816</v>
      </c>
      <c r="L182" s="31">
        <f t="shared" si="82"/>
        <v>0</v>
      </c>
      <c r="M182" s="31">
        <f t="shared" si="82"/>
        <v>0</v>
      </c>
      <c r="N182" s="31">
        <f t="shared" si="82"/>
        <v>0</v>
      </c>
      <c r="O182" s="31">
        <f t="shared" ref="O182:Q182" si="83">O107</f>
        <v>0</v>
      </c>
      <c r="P182" s="31">
        <f t="shared" si="83"/>
        <v>0</v>
      </c>
      <c r="Q182" s="31">
        <f t="shared" si="83"/>
        <v>0</v>
      </c>
      <c r="R182" s="31"/>
      <c r="S182" s="11">
        <f>SUM(B182:R182)</f>
        <v>101353.1600890909</v>
      </c>
    </row>
    <row r="183" spans="1:20">
      <c r="A183" s="39" t="s">
        <v>73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6"/>
    </row>
    <row r="184" spans="1:20">
      <c r="A184" s="5" t="s">
        <v>43</v>
      </c>
      <c r="B184" s="31">
        <f t="shared" ref="B184:N184" si="84">B103</f>
        <v>0</v>
      </c>
      <c r="C184" s="31">
        <f t="shared" si="84"/>
        <v>0</v>
      </c>
      <c r="D184" s="31">
        <f t="shared" si="84"/>
        <v>69087.189144749093</v>
      </c>
      <c r="E184" s="31">
        <f t="shared" si="84"/>
        <v>2260</v>
      </c>
      <c r="F184" s="31">
        <f t="shared" si="84"/>
        <v>0</v>
      </c>
      <c r="G184" s="31">
        <f t="shared" si="84"/>
        <v>0</v>
      </c>
      <c r="H184" s="31">
        <f t="shared" si="84"/>
        <v>0</v>
      </c>
      <c r="I184" s="31">
        <f t="shared" si="84"/>
        <v>0</v>
      </c>
      <c r="J184" s="31">
        <f t="shared" si="84"/>
        <v>0</v>
      </c>
      <c r="K184" s="31">
        <f t="shared" si="84"/>
        <v>0</v>
      </c>
      <c r="L184" s="31">
        <f t="shared" si="84"/>
        <v>0</v>
      </c>
      <c r="M184" s="31">
        <f t="shared" si="84"/>
        <v>0</v>
      </c>
      <c r="N184" s="31">
        <f t="shared" si="84"/>
        <v>0</v>
      </c>
      <c r="O184" s="31">
        <f t="shared" ref="O184:Q184" si="85">O103</f>
        <v>0</v>
      </c>
      <c r="P184" s="31">
        <f t="shared" si="85"/>
        <v>0</v>
      </c>
      <c r="Q184" s="31">
        <f t="shared" si="85"/>
        <v>0</v>
      </c>
      <c r="R184" s="31"/>
      <c r="S184" s="11">
        <f>SUM(B184:R184)</f>
        <v>71347.189144749093</v>
      </c>
    </row>
    <row r="185" spans="1:20">
      <c r="A185" s="39" t="s">
        <v>74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6"/>
    </row>
    <row r="186" spans="1:20">
      <c r="A186" s="5" t="s">
        <v>69</v>
      </c>
      <c r="B186" s="58">
        <f t="shared" ref="B186:D186" si="86">B182-B184</f>
        <v>0</v>
      </c>
      <c r="C186" s="58">
        <f t="shared" si="86"/>
        <v>0</v>
      </c>
      <c r="D186" s="58">
        <f t="shared" si="86"/>
        <v>-69087.189144749093</v>
      </c>
      <c r="E186" s="58">
        <f t="shared" ref="E186:N186" si="87">E182-E184</f>
        <v>-2260</v>
      </c>
      <c r="F186" s="58">
        <f t="shared" si="87"/>
        <v>17951.866615808856</v>
      </c>
      <c r="G186" s="58">
        <f t="shared" si="87"/>
        <v>17514.016210545229</v>
      </c>
      <c r="H186" s="58">
        <f t="shared" si="87"/>
        <v>17086.84508345876</v>
      </c>
      <c r="I186" s="58">
        <f t="shared" si="87"/>
        <v>16670.092764350011</v>
      </c>
      <c r="J186" s="58">
        <f t="shared" si="87"/>
        <v>16263.505135951227</v>
      </c>
      <c r="K186" s="58">
        <f t="shared" si="87"/>
        <v>15866.834278976816</v>
      </c>
      <c r="L186" s="58">
        <f t="shared" si="87"/>
        <v>0</v>
      </c>
      <c r="M186" s="58">
        <f t="shared" si="87"/>
        <v>0</v>
      </c>
      <c r="N186" s="58">
        <f t="shared" si="87"/>
        <v>0</v>
      </c>
      <c r="O186" s="58">
        <f t="shared" ref="O186:Q186" si="88">O182-O184</f>
        <v>0</v>
      </c>
      <c r="P186" s="58">
        <f t="shared" si="88"/>
        <v>0</v>
      </c>
      <c r="Q186" s="58">
        <f t="shared" si="88"/>
        <v>0</v>
      </c>
      <c r="R186" s="58"/>
      <c r="S186" s="59">
        <f>SUM(B186:R186)</f>
        <v>30005.970944341814</v>
      </c>
      <c r="T186" s="2">
        <f>S163-S177</f>
        <v>30005.970944341796</v>
      </c>
    </row>
    <row r="187" spans="1:20">
      <c r="A187" s="5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0"/>
      <c r="T187" s="2"/>
    </row>
    <row r="188" spans="1:20">
      <c r="A188" s="114" t="s">
        <v>146</v>
      </c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0"/>
      <c r="T188" s="2"/>
    </row>
    <row r="189" spans="1:20">
      <c r="A189" s="40" t="s">
        <v>147</v>
      </c>
      <c r="B189" s="118">
        <f>Input!$B$327</f>
        <v>0.1</v>
      </c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0"/>
      <c r="T189" s="2"/>
    </row>
    <row r="190" spans="1:20">
      <c r="A190" s="115" t="s">
        <v>148</v>
      </c>
      <c r="B190" s="87">
        <f>B163/(1+Input!$B$329)</f>
        <v>-2097.6176963403027</v>
      </c>
      <c r="C190" s="87">
        <f>C163/(1+Input!$B$329)^3</f>
        <v>-23212.480127269962</v>
      </c>
      <c r="D190" s="87">
        <f>D163/(1+Input!$B$329)^5</f>
        <v>-64356.352263463115</v>
      </c>
      <c r="E190" s="87">
        <f>E163/(1+Input!$B$329)^7</f>
        <v>10480.823520467735</v>
      </c>
      <c r="F190" s="87">
        <f>F163/(1+Input!$B$329)^9</f>
        <v>19460.898881319321</v>
      </c>
      <c r="G190" s="87">
        <f>G163/(1+Input!$B$329)^11</f>
        <v>17840.996538227326</v>
      </c>
      <c r="H190" s="87">
        <f>H163/(1+Input!$B$329)^13</f>
        <v>17069.236908143987</v>
      </c>
      <c r="I190" s="87">
        <f>I163/(1+Input!$B$329)^15</f>
        <v>15619.250978699896</v>
      </c>
      <c r="J190" s="87">
        <f>J163/(1+Input!$B$329)^17</f>
        <v>14264.169894609982</v>
      </c>
      <c r="K190" s="87">
        <f>K163/(1+Input!$B$329)^19</f>
        <v>12936.842123606724</v>
      </c>
      <c r="L190" s="87">
        <f>L163/(1+Input!$B$329)^21</f>
        <v>11799.950380748898</v>
      </c>
      <c r="M190" s="87">
        <f>M163/(1+Input!$B$329)^23</f>
        <v>10774.479026433637</v>
      </c>
      <c r="N190" s="87">
        <f>N163/(1+Input!$B$329)^25</f>
        <v>10709.07855620205</v>
      </c>
      <c r="O190" s="87">
        <f>O163/(1+Input!$B$329)^27</f>
        <v>9803.4316051792284</v>
      </c>
      <c r="P190" s="87">
        <f>P163/(1+Input!$B$329)^29</f>
        <v>9160.3139093228692</v>
      </c>
      <c r="Q190" s="87">
        <f>Q163/(1+Input!$B$329)^31</f>
        <v>16355.641924869373</v>
      </c>
      <c r="R190" s="87"/>
      <c r="S190" s="11">
        <f t="shared" ref="S190:S192" si="89">SUM(B190:R190)</f>
        <v>86608.664160757646</v>
      </c>
      <c r="T190" s="2"/>
    </row>
    <row r="191" spans="1:20">
      <c r="A191" s="115" t="s">
        <v>149</v>
      </c>
      <c r="B191" s="87">
        <f>B177/(1+Input!$B$329)</f>
        <v>-2097.6176963403027</v>
      </c>
      <c r="C191" s="87">
        <f>C177/(1+Input!$B$329)^3</f>
        <v>-23212.480127269962</v>
      </c>
      <c r="D191" s="87">
        <f>D177/(1+Input!$B$329)^5</f>
        <v>-9916.6413166429174</v>
      </c>
      <c r="E191" s="87">
        <f>E177/(1+Input!$B$329)^7</f>
        <v>12099.775775685644</v>
      </c>
      <c r="F191" s="87">
        <f>F177/(1+Input!$B$329)^9</f>
        <v>7770.1446805812475</v>
      </c>
      <c r="G191" s="87">
        <f>G177/(1+Input!$B$329)^11</f>
        <v>7472.2566706104062</v>
      </c>
      <c r="H191" s="87">
        <f>H177/(1+Input!$B$329)^13</f>
        <v>7873.0152960668966</v>
      </c>
      <c r="I191" s="87">
        <f>I177/(1+Input!$B$329)^15</f>
        <v>7462.9568659929437</v>
      </c>
      <c r="J191" s="87">
        <f>J177/(1+Input!$B$329)^17</f>
        <v>7030.2061582845263</v>
      </c>
      <c r="K191" s="87">
        <f>K177/(1+Input!$B$329)^19</f>
        <v>6520.9097632293769</v>
      </c>
      <c r="L191" s="87">
        <f>L177/(1+Input!$B$329)^21</f>
        <v>11799.950380748898</v>
      </c>
      <c r="M191" s="87">
        <f>M177/(1+Input!$B$329)^23</f>
        <v>10774.479026433639</v>
      </c>
      <c r="N191" s="87">
        <f>N177/(1+Input!$B$329)^25</f>
        <v>10709.078556202048</v>
      </c>
      <c r="O191" s="87">
        <f>O177/(1+Input!$B$329)^27</f>
        <v>9803.4316051792302</v>
      </c>
      <c r="P191" s="87">
        <f>P177/(1+Input!$B$329)^29</f>
        <v>9160.3139093228692</v>
      </c>
      <c r="Q191" s="87">
        <f>Q177/(1+Input!$B$329)^31</f>
        <v>16355.641924869373</v>
      </c>
      <c r="R191" s="87"/>
      <c r="S191" s="11">
        <f t="shared" si="89"/>
        <v>89605.421472953924</v>
      </c>
      <c r="T191" s="2"/>
    </row>
    <row r="192" spans="1:20">
      <c r="A192" s="115" t="s">
        <v>75</v>
      </c>
      <c r="B192" s="87">
        <f>B186/(1+Input!$B$329)</f>
        <v>0</v>
      </c>
      <c r="C192" s="87">
        <f>C186/(1+Input!$B$329)^3</f>
        <v>0</v>
      </c>
      <c r="D192" s="87">
        <f>D186/(1+Input!$B$329)^5</f>
        <v>-54439.710946820196</v>
      </c>
      <c r="E192" s="87">
        <f>E186/(1+Input!$B$329)^7</f>
        <v>-1618.9522552179099</v>
      </c>
      <c r="F192" s="87">
        <f>F186/(1+Input!$B$329)^9</f>
        <v>11690.754200738074</v>
      </c>
      <c r="G192" s="87">
        <f>G186/(1+Input!$B$329)^11</f>
        <v>10368.739867616918</v>
      </c>
      <c r="H192" s="87">
        <f>H186/(1+Input!$B$329)^13</f>
        <v>9196.22161207709</v>
      </c>
      <c r="I192" s="87">
        <f>I186/(1+Input!$B$329)^15</f>
        <v>8156.2941127069525</v>
      </c>
      <c r="J192" s="87">
        <f>J186/(1+Input!$B$329)^17</f>
        <v>7233.963736325456</v>
      </c>
      <c r="K192" s="87">
        <f>K186/(1+Input!$B$329)^19</f>
        <v>6415.9323603773473</v>
      </c>
      <c r="L192" s="87">
        <f>L186/(1+Input!$B$329)^21</f>
        <v>0</v>
      </c>
      <c r="M192" s="87">
        <f>M186/(1+Input!$B$329)^23</f>
        <v>0</v>
      </c>
      <c r="N192" s="87">
        <f>N186/(1+Input!$B$329)^25</f>
        <v>0</v>
      </c>
      <c r="O192" s="87">
        <f>O186/(1+Input!$B$329)^27</f>
        <v>0</v>
      </c>
      <c r="P192" s="87">
        <f>P186/(1+Input!$B$329)^29</f>
        <v>0</v>
      </c>
      <c r="Q192" s="87">
        <f>Q186/(1+Input!$B$329)^31</f>
        <v>0</v>
      </c>
      <c r="R192" s="87"/>
      <c r="S192" s="11">
        <f t="shared" si="89"/>
        <v>-2996.7573121962678</v>
      </c>
      <c r="T192" s="2"/>
    </row>
    <row r="193" spans="1:20">
      <c r="A193" s="7"/>
      <c r="B193" s="117"/>
      <c r="C193" s="117"/>
      <c r="D193" s="117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116"/>
      <c r="T193" s="2"/>
    </row>
    <row r="196" spans="1:20">
      <c r="A196" s="13" t="s">
        <v>0</v>
      </c>
      <c r="B196" s="77"/>
      <c r="C196" s="77"/>
      <c r="D196" s="7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</row>
    <row r="197" spans="1:20">
      <c r="A197" s="16" t="str">
        <f>Title!$F$10</f>
        <v>ARTHUR RIVER MAGNESITE PROJECT</v>
      </c>
      <c r="B197" s="78"/>
      <c r="C197" s="78"/>
      <c r="D197" s="78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</row>
    <row r="198" spans="1:20">
      <c r="A198" s="16" t="str">
        <f>Title!$F$12</f>
        <v>ORDER OF MAGNITUDE COST STUDY: CALCINE PRODUCTION ONLY</v>
      </c>
      <c r="B198" s="78"/>
      <c r="C198" s="78"/>
      <c r="D198" s="78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</row>
    <row r="199" spans="1:20">
      <c r="A199" s="19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 t="str">
        <f>Title!$F$19</f>
        <v>3 October 2011</v>
      </c>
      <c r="S199" s="18"/>
    </row>
    <row r="200" spans="1:20">
      <c r="A200" s="20" t="s">
        <v>484</v>
      </c>
      <c r="B200" s="79"/>
      <c r="C200" s="79"/>
      <c r="D200" s="79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</row>
    <row r="201" spans="1:20">
      <c r="A201" s="38"/>
      <c r="B201" s="41" t="s">
        <v>26</v>
      </c>
      <c r="C201" s="41" t="s">
        <v>26</v>
      </c>
      <c r="D201" s="41" t="s">
        <v>26</v>
      </c>
      <c r="E201" s="41" t="s">
        <v>26</v>
      </c>
      <c r="F201" s="41" t="s">
        <v>26</v>
      </c>
      <c r="G201" s="41" t="s">
        <v>26</v>
      </c>
      <c r="H201" s="41" t="s">
        <v>26</v>
      </c>
      <c r="I201" s="41" t="s">
        <v>26</v>
      </c>
      <c r="J201" s="41" t="s">
        <v>26</v>
      </c>
      <c r="K201" s="41" t="s">
        <v>26</v>
      </c>
      <c r="L201" s="41" t="s">
        <v>26</v>
      </c>
      <c r="M201" s="41" t="s">
        <v>26</v>
      </c>
      <c r="N201" s="41" t="s">
        <v>26</v>
      </c>
      <c r="O201" s="41" t="s">
        <v>26</v>
      </c>
      <c r="P201" s="41" t="s">
        <v>26</v>
      </c>
      <c r="Q201" s="41" t="s">
        <v>26</v>
      </c>
      <c r="R201" s="41"/>
      <c r="S201" s="42" t="s">
        <v>5</v>
      </c>
      <c r="T201" s="53" t="s">
        <v>32</v>
      </c>
    </row>
    <row r="202" spans="1:20">
      <c r="A202" s="8"/>
      <c r="B202" s="43">
        <v>-3</v>
      </c>
      <c r="C202" s="43">
        <v>-2</v>
      </c>
      <c r="D202" s="43">
        <v>-1</v>
      </c>
      <c r="E202" s="43">
        <v>1</v>
      </c>
      <c r="F202" s="43">
        <v>2</v>
      </c>
      <c r="G202" s="43">
        <v>3</v>
      </c>
      <c r="H202" s="43">
        <v>4</v>
      </c>
      <c r="I202" s="43">
        <v>5</v>
      </c>
      <c r="J202" s="43">
        <v>6</v>
      </c>
      <c r="K202" s="43">
        <v>7</v>
      </c>
      <c r="L202" s="43">
        <v>8</v>
      </c>
      <c r="M202" s="43">
        <v>9</v>
      </c>
      <c r="N202" s="43">
        <v>10</v>
      </c>
      <c r="O202" s="43">
        <v>11</v>
      </c>
      <c r="P202" s="43">
        <v>12</v>
      </c>
      <c r="Q202" s="43">
        <v>13</v>
      </c>
      <c r="R202" s="43"/>
      <c r="S202" s="8"/>
    </row>
    <row r="203" spans="1:20">
      <c r="A203" s="120" t="s">
        <v>54</v>
      </c>
      <c r="B203" s="123"/>
      <c r="C203" s="123"/>
      <c r="D203" s="123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5"/>
    </row>
    <row r="204" spans="1:20">
      <c r="A204" s="121" t="s">
        <v>22</v>
      </c>
      <c r="B204" s="126">
        <f>B15</f>
        <v>0</v>
      </c>
      <c r="C204" s="126">
        <f t="shared" ref="C204:N204" si="90">C15</f>
        <v>0</v>
      </c>
      <c r="D204" s="126">
        <f t="shared" si="90"/>
        <v>0</v>
      </c>
      <c r="E204" s="126">
        <f t="shared" si="90"/>
        <v>49279.222416182129</v>
      </c>
      <c r="F204" s="126">
        <f t="shared" si="90"/>
        <v>71747.837890624971</v>
      </c>
      <c r="G204" s="126">
        <f t="shared" si="90"/>
        <v>73541.533837890587</v>
      </c>
      <c r="H204" s="126">
        <f t="shared" si="90"/>
        <v>75380.072183837867</v>
      </c>
      <c r="I204" s="126">
        <f t="shared" si="90"/>
        <v>77264.573988433811</v>
      </c>
      <c r="J204" s="126">
        <f t="shared" si="90"/>
        <v>79196.188338144653</v>
      </c>
      <c r="K204" s="126">
        <f t="shared" si="90"/>
        <v>81176.093046598238</v>
      </c>
      <c r="L204" s="126">
        <f t="shared" si="90"/>
        <v>83205.495372763195</v>
      </c>
      <c r="M204" s="126">
        <f t="shared" si="90"/>
        <v>85285.63275708229</v>
      </c>
      <c r="N204" s="126">
        <f t="shared" si="90"/>
        <v>87417.773576009335</v>
      </c>
      <c r="O204" s="126">
        <f t="shared" ref="O204:Q204" si="91">O15</f>
        <v>89603.217915409565</v>
      </c>
      <c r="P204" s="126">
        <f t="shared" si="91"/>
        <v>91843.298363294802</v>
      </c>
      <c r="Q204" s="126">
        <f t="shared" si="91"/>
        <v>161544.17905626356</v>
      </c>
      <c r="R204" s="126"/>
      <c r="S204" s="11">
        <f>SUM(B204:R204)</f>
        <v>1106485.1187425351</v>
      </c>
    </row>
    <row r="205" spans="1:20">
      <c r="A205" s="83" t="s">
        <v>154</v>
      </c>
      <c r="B205" s="126">
        <f>Costs!B220</f>
        <v>0</v>
      </c>
      <c r="C205" s="126">
        <f>Costs!C220</f>
        <v>0</v>
      </c>
      <c r="D205" s="126">
        <f>Costs!D220</f>
        <v>9455.6135952020104</v>
      </c>
      <c r="E205" s="126">
        <f>Costs!E220</f>
        <v>27317.873961594436</v>
      </c>
      <c r="F205" s="126">
        <f>Costs!F220</f>
        <v>31592.000899662718</v>
      </c>
      <c r="G205" s="126">
        <f>Costs!G220</f>
        <v>32096.53332105781</v>
      </c>
      <c r="H205" s="126">
        <f>Costs!H220</f>
        <v>31183.062368413579</v>
      </c>
      <c r="I205" s="126">
        <f>Costs!I220</f>
        <v>31715.408689268246</v>
      </c>
      <c r="J205" s="126">
        <f>Costs!J220</f>
        <v>32330.652485171897</v>
      </c>
      <c r="K205" s="126">
        <f>Costs!K220</f>
        <v>33233.380232418102</v>
      </c>
      <c r="L205" s="126">
        <f>Costs!L220</f>
        <v>33927.762822971534</v>
      </c>
      <c r="M205" s="126">
        <f>Costs!M220</f>
        <v>34590.435862672311</v>
      </c>
      <c r="N205" s="126">
        <f>Costs!N220</f>
        <v>31408.622367394459</v>
      </c>
      <c r="O205" s="126">
        <f>Costs!O220</f>
        <v>31854.902177376287</v>
      </c>
      <c r="P205" s="126">
        <f>Costs!P220</f>
        <v>32781.044468459171</v>
      </c>
      <c r="Q205" s="126">
        <f>Costs!Q220</f>
        <v>48903.442502165279</v>
      </c>
      <c r="R205" s="126"/>
      <c r="S205" s="11">
        <f t="shared" ref="S205:S209" si="92">SUM(B205:R205)</f>
        <v>442390.73575382773</v>
      </c>
    </row>
    <row r="206" spans="1:20">
      <c r="A206" s="121" t="s">
        <v>152</v>
      </c>
      <c r="B206" s="126">
        <f>B23</f>
        <v>0</v>
      </c>
      <c r="C206" s="126">
        <f t="shared" ref="C206:N206" si="93">C23</f>
        <v>0</v>
      </c>
      <c r="D206" s="126">
        <f t="shared" si="93"/>
        <v>0</v>
      </c>
      <c r="E206" s="126">
        <f t="shared" si="93"/>
        <v>3571.2689414928445</v>
      </c>
      <c r="F206" s="126">
        <f t="shared" si="93"/>
        <v>4411.9401238281234</v>
      </c>
      <c r="G206" s="126">
        <f t="shared" si="93"/>
        <v>4522.2386269238259</v>
      </c>
      <c r="H206" s="126">
        <f t="shared" si="93"/>
        <v>4635.2945925969225</v>
      </c>
      <c r="I206" s="126">
        <f t="shared" si="93"/>
        <v>4751.1769574118453</v>
      </c>
      <c r="J206" s="126">
        <f t="shared" si="93"/>
        <v>4869.9563813471414</v>
      </c>
      <c r="K206" s="126">
        <f t="shared" si="93"/>
        <v>4991.7052908808182</v>
      </c>
      <c r="L206" s="126">
        <f t="shared" si="93"/>
        <v>5116.4979231528387</v>
      </c>
      <c r="M206" s="126">
        <f t="shared" si="93"/>
        <v>5244.4103712316601</v>
      </c>
      <c r="N206" s="126">
        <f t="shared" si="93"/>
        <v>5375.5206305124511</v>
      </c>
      <c r="O206" s="126">
        <f t="shared" ref="O206:Q206" si="94">O23</f>
        <v>5509.9086462752621</v>
      </c>
      <c r="P206" s="126">
        <f t="shared" si="94"/>
        <v>5647.6563624321434</v>
      </c>
      <c r="Q206" s="126">
        <f t="shared" si="94"/>
        <v>8293.6990980824285</v>
      </c>
      <c r="R206" s="126"/>
      <c r="S206" s="11">
        <f t="shared" si="92"/>
        <v>66941.273946168309</v>
      </c>
    </row>
    <row r="207" spans="1:20">
      <c r="A207" s="121" t="s">
        <v>153</v>
      </c>
      <c r="B207" s="126">
        <f>B33</f>
        <v>0</v>
      </c>
      <c r="C207" s="126">
        <f t="shared" ref="C207:N207" si="95">C33</f>
        <v>0</v>
      </c>
      <c r="D207" s="126">
        <f t="shared" si="95"/>
        <v>0</v>
      </c>
      <c r="E207" s="126">
        <f t="shared" si="95"/>
        <v>200.47248466143486</v>
      </c>
      <c r="F207" s="126">
        <f t="shared" si="95"/>
        <v>263.59978355004199</v>
      </c>
      <c r="G207" s="126">
        <f t="shared" si="95"/>
        <v>270.18977813879297</v>
      </c>
      <c r="H207" s="126">
        <f t="shared" si="95"/>
        <v>276.94452259226279</v>
      </c>
      <c r="I207" s="126">
        <f t="shared" si="95"/>
        <v>283.86813565706939</v>
      </c>
      <c r="J207" s="126">
        <f t="shared" si="95"/>
        <v>290.96483904849612</v>
      </c>
      <c r="K207" s="126">
        <f t="shared" si="95"/>
        <v>298.23896002470843</v>
      </c>
      <c r="L207" s="126">
        <f t="shared" si="95"/>
        <v>305.69493402532618</v>
      </c>
      <c r="M207" s="126">
        <f t="shared" si="95"/>
        <v>313.33730737595931</v>
      </c>
      <c r="N207" s="126">
        <f t="shared" si="95"/>
        <v>321.17074006035824</v>
      </c>
      <c r="O207" s="126">
        <f t="shared" ref="O207:Q207" si="96">O33</f>
        <v>329.20000856186721</v>
      </c>
      <c r="P207" s="126">
        <f t="shared" si="96"/>
        <v>337.43000877591385</v>
      </c>
      <c r="Q207" s="126">
        <f t="shared" si="96"/>
        <v>567.38910770972825</v>
      </c>
      <c r="R207" s="126"/>
      <c r="S207" s="11">
        <f t="shared" si="92"/>
        <v>4058.5006101819595</v>
      </c>
    </row>
    <row r="208" spans="1:20">
      <c r="A208" s="83" t="s">
        <v>485</v>
      </c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1">
        <f t="shared" si="92"/>
        <v>0</v>
      </c>
    </row>
    <row r="209" spans="1:20">
      <c r="A209" s="122" t="s">
        <v>54</v>
      </c>
      <c r="B209" s="71">
        <f>MAX(B204-SUM(B205:B208),0)</f>
        <v>0</v>
      </c>
      <c r="C209" s="71">
        <f t="shared" ref="C209:Q209" si="97">MAX(C204-SUM(C205:C208),0)</f>
        <v>0</v>
      </c>
      <c r="D209" s="71">
        <f t="shared" si="97"/>
        <v>0</v>
      </c>
      <c r="E209" s="71">
        <f t="shared" si="97"/>
        <v>18189.607028433413</v>
      </c>
      <c r="F209" s="71">
        <f t="shared" si="97"/>
        <v>35480.29708358409</v>
      </c>
      <c r="G209" s="71">
        <f t="shared" si="97"/>
        <v>36652.572111770154</v>
      </c>
      <c r="H209" s="71">
        <f t="shared" si="97"/>
        <v>39284.770700235102</v>
      </c>
      <c r="I209" s="71">
        <f t="shared" si="97"/>
        <v>40514.120206096653</v>
      </c>
      <c r="J209" s="71">
        <f t="shared" si="97"/>
        <v>41704.614632577119</v>
      </c>
      <c r="K209" s="71">
        <f t="shared" si="97"/>
        <v>42652.768563274607</v>
      </c>
      <c r="L209" s="71">
        <f t="shared" si="97"/>
        <v>43855.539692613493</v>
      </c>
      <c r="M209" s="71">
        <f t="shared" si="97"/>
        <v>45137.449215802364</v>
      </c>
      <c r="N209" s="71">
        <f t="shared" si="97"/>
        <v>50312.459838042072</v>
      </c>
      <c r="O209" s="71">
        <f t="shared" si="97"/>
        <v>51909.207083196154</v>
      </c>
      <c r="P209" s="71">
        <f t="shared" si="97"/>
        <v>53077.167523627577</v>
      </c>
      <c r="Q209" s="71">
        <f t="shared" si="97"/>
        <v>103779.64834830613</v>
      </c>
      <c r="R209" s="71"/>
      <c r="S209" s="11">
        <f t="shared" si="92"/>
        <v>602550.22202755895</v>
      </c>
    </row>
    <row r="210" spans="1:20">
      <c r="A210" s="65" t="s">
        <v>50</v>
      </c>
      <c r="B210" s="126"/>
      <c r="C210" s="126"/>
      <c r="D210" s="126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0"/>
    </row>
    <row r="211" spans="1:20">
      <c r="A211" s="6" t="s">
        <v>51</v>
      </c>
      <c r="B211" s="87">
        <v>3000</v>
      </c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11">
        <f t="shared" ref="S211:S213" si="98">SUM(B211:R211)</f>
        <v>3000</v>
      </c>
      <c r="T211" t="s">
        <v>165</v>
      </c>
    </row>
    <row r="212" spans="1:20">
      <c r="A212" s="6" t="s">
        <v>52</v>
      </c>
      <c r="B212" s="31">
        <f>Costs!B69</f>
        <v>0</v>
      </c>
      <c r="C212" s="31">
        <f>Costs!C69</f>
        <v>0</v>
      </c>
      <c r="D212" s="31">
        <f>Costs!D69</f>
        <v>0</v>
      </c>
      <c r="E212" s="31">
        <f>Costs!E69</f>
        <v>9036.1910677083324</v>
      </c>
      <c r="F212" s="31">
        <f>Costs!F69</f>
        <v>9262.9744434185595</v>
      </c>
      <c r="G212" s="31">
        <f>Costs!G69</f>
        <v>9518.6726995318404</v>
      </c>
      <c r="H212" s="31">
        <f>Costs!H69</f>
        <v>9796.9991199029337</v>
      </c>
      <c r="I212" s="31">
        <f>Costs!I69</f>
        <v>10117.94427339335</v>
      </c>
      <c r="J212" s="31">
        <f>Costs!J69</f>
        <v>10493.908596053554</v>
      </c>
      <c r="K212" s="31">
        <f>Costs!K69</f>
        <v>10943.499265234714</v>
      </c>
      <c r="L212" s="31">
        <f>Costs!L69</f>
        <v>11496.49578832754</v>
      </c>
      <c r="M212" s="31">
        <f>Costs!M69</f>
        <v>12205.022583540223</v>
      </c>
      <c r="N212" s="31">
        <f>Costs!N69</f>
        <v>13173.342536997558</v>
      </c>
      <c r="O212" s="31">
        <f>Costs!O69</f>
        <v>14662.134465438208</v>
      </c>
      <c r="P212" s="31">
        <f>Costs!P69</f>
        <v>16188.146192089876</v>
      </c>
      <c r="Q212" s="31">
        <f>Costs!Q69</f>
        <v>0</v>
      </c>
      <c r="R212" s="31"/>
      <c r="S212" s="11">
        <f t="shared" si="98"/>
        <v>136895.33103163668</v>
      </c>
    </row>
    <row r="213" spans="1:20">
      <c r="A213" s="6" t="s">
        <v>106</v>
      </c>
      <c r="B213" s="4"/>
      <c r="C213" s="4"/>
      <c r="D213" s="4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11">
        <f t="shared" si="98"/>
        <v>0</v>
      </c>
    </row>
    <row r="214" spans="1:20">
      <c r="A214" s="65" t="s">
        <v>11</v>
      </c>
      <c r="B214" s="93"/>
      <c r="C214" s="93"/>
      <c r="D214" s="9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6"/>
    </row>
    <row r="215" spans="1:20">
      <c r="A215" s="6" t="s">
        <v>50</v>
      </c>
      <c r="B215" s="31">
        <f>SUM(B211:B213)</f>
        <v>3000</v>
      </c>
      <c r="C215" s="31">
        <f t="shared" ref="C215:N215" si="99">SUM(C211:C213)</f>
        <v>0</v>
      </c>
      <c r="D215" s="31">
        <f t="shared" si="99"/>
        <v>0</v>
      </c>
      <c r="E215" s="31">
        <f t="shared" si="99"/>
        <v>9036.1910677083324</v>
      </c>
      <c r="F215" s="31">
        <f t="shared" si="99"/>
        <v>9262.9744434185595</v>
      </c>
      <c r="G215" s="31">
        <f t="shared" si="99"/>
        <v>9518.6726995318404</v>
      </c>
      <c r="H215" s="31">
        <f t="shared" si="99"/>
        <v>9796.9991199029337</v>
      </c>
      <c r="I215" s="31">
        <f t="shared" si="99"/>
        <v>10117.94427339335</v>
      </c>
      <c r="J215" s="31">
        <f t="shared" si="99"/>
        <v>10493.908596053554</v>
      </c>
      <c r="K215" s="31">
        <f t="shared" si="99"/>
        <v>10943.499265234714</v>
      </c>
      <c r="L215" s="31">
        <f t="shared" si="99"/>
        <v>11496.49578832754</v>
      </c>
      <c r="M215" s="31">
        <f t="shared" si="99"/>
        <v>12205.022583540223</v>
      </c>
      <c r="N215" s="31">
        <f t="shared" si="99"/>
        <v>13173.342536997558</v>
      </c>
      <c r="O215" s="31">
        <f t="shared" ref="O215:Q215" si="100">SUM(O211:O213)</f>
        <v>14662.134465438208</v>
      </c>
      <c r="P215" s="31">
        <f t="shared" si="100"/>
        <v>16188.146192089876</v>
      </c>
      <c r="Q215" s="31">
        <f t="shared" si="100"/>
        <v>0</v>
      </c>
      <c r="R215" s="31"/>
      <c r="S215" s="11">
        <f t="shared" ref="S215:S218" si="101">SUM(B215:R215)</f>
        <v>139895.33103163668</v>
      </c>
    </row>
    <row r="216" spans="1:20">
      <c r="A216" s="6" t="s">
        <v>53</v>
      </c>
      <c r="B216" s="31">
        <f t="shared" ref="B216:D216" si="102">B97</f>
        <v>0</v>
      </c>
      <c r="C216" s="31">
        <f t="shared" si="102"/>
        <v>0</v>
      </c>
      <c r="D216" s="31">
        <f t="shared" si="102"/>
        <v>6532.6255285681864</v>
      </c>
      <c r="E216" s="31">
        <f t="shared" ref="E216:N216" si="103">E97</f>
        <v>7339.6013792643234</v>
      </c>
      <c r="F216" s="31">
        <f t="shared" si="103"/>
        <v>8000.1655033981133</v>
      </c>
      <c r="G216" s="31">
        <f t="shared" si="103"/>
        <v>6936.7852383860054</v>
      </c>
      <c r="H216" s="31">
        <f t="shared" si="103"/>
        <v>5777.7007495228081</v>
      </c>
      <c r="I216" s="31">
        <f t="shared" si="103"/>
        <v>4514.2986566619229</v>
      </c>
      <c r="J216" s="31">
        <f t="shared" si="103"/>
        <v>3137.1903754435575</v>
      </c>
      <c r="K216" s="31">
        <f t="shared" si="103"/>
        <v>1636.1423489155397</v>
      </c>
      <c r="L216" s="31">
        <f t="shared" si="103"/>
        <v>0</v>
      </c>
      <c r="M216" s="31">
        <f t="shared" si="103"/>
        <v>0</v>
      </c>
      <c r="N216" s="31">
        <f t="shared" si="103"/>
        <v>0</v>
      </c>
      <c r="O216" s="31">
        <f t="shared" ref="O216:Q216" si="104">O97</f>
        <v>0</v>
      </c>
      <c r="P216" s="31">
        <f t="shared" si="104"/>
        <v>0</v>
      </c>
      <c r="Q216" s="31">
        <f t="shared" si="104"/>
        <v>0</v>
      </c>
      <c r="R216" s="31"/>
      <c r="S216" s="11">
        <f t="shared" si="101"/>
        <v>43874.509780160457</v>
      </c>
    </row>
    <row r="217" spans="1:20">
      <c r="A217" s="6" t="s">
        <v>35</v>
      </c>
      <c r="B217" s="31">
        <f>MAX(Costs!B220+B23+B33-B15,0)</f>
        <v>0</v>
      </c>
      <c r="C217" s="31">
        <f>MAX(Costs!C220+C23+C33-C15,0)</f>
        <v>0</v>
      </c>
      <c r="D217" s="31">
        <f>MAX(Costs!D220+D23+D33-D15,0)</f>
        <v>9455.6135952020104</v>
      </c>
      <c r="E217" s="31">
        <f>MAX(Costs!E220+E23+E33-E15,0)</f>
        <v>0</v>
      </c>
      <c r="F217" s="31">
        <f>MAX(Costs!F220+F23+F33-F15,0)</f>
        <v>0</v>
      </c>
      <c r="G217" s="31">
        <f>MAX(Costs!G220+G23+G33-G15,0)</f>
        <v>0</v>
      </c>
      <c r="H217" s="31">
        <f>MAX(Costs!H220+H23+H33-H15,0)</f>
        <v>0</v>
      </c>
      <c r="I217" s="31">
        <f>MAX(Costs!I220+I23+I33-I15,0)</f>
        <v>0</v>
      </c>
      <c r="J217" s="31">
        <f>MAX(Costs!J220+J23+J33-J15,0)</f>
        <v>0</v>
      </c>
      <c r="K217" s="31">
        <f>MAX(Costs!K220+K23+K33-K15,0)</f>
        <v>0</v>
      </c>
      <c r="L217" s="31">
        <f>MAX(Costs!L220+L23+L33-L15,0)</f>
        <v>0</v>
      </c>
      <c r="M217" s="31">
        <f>MAX(Costs!M220+M23+M33-M15,0)</f>
        <v>0</v>
      </c>
      <c r="N217" s="31">
        <f>MAX(Costs!N220+N23+N33-N15,0)</f>
        <v>0</v>
      </c>
      <c r="O217" s="31">
        <f>MAX(Costs!O220+O23+O33-O15,0)</f>
        <v>0</v>
      </c>
      <c r="P217" s="31">
        <f>MAX(Costs!P220+P23+P33-P15,0)</f>
        <v>0</v>
      </c>
      <c r="Q217" s="31">
        <f>MAX(Costs!Q220+Q23+Q33-Q15,0)</f>
        <v>0</v>
      </c>
      <c r="R217" s="31"/>
      <c r="S217" s="11">
        <f t="shared" si="101"/>
        <v>9455.6135952020104</v>
      </c>
    </row>
    <row r="218" spans="1:20">
      <c r="A218" s="6" t="s">
        <v>5</v>
      </c>
      <c r="B218" s="31">
        <f>SUM(B215:B217)</f>
        <v>3000</v>
      </c>
      <c r="C218" s="31">
        <f t="shared" ref="C218:N218" si="105">SUM(C215:C217)</f>
        <v>0</v>
      </c>
      <c r="D218" s="31">
        <f t="shared" si="105"/>
        <v>15988.239123770196</v>
      </c>
      <c r="E218" s="31">
        <f t="shared" si="105"/>
        <v>16375.792446972657</v>
      </c>
      <c r="F218" s="31">
        <f t="shared" si="105"/>
        <v>17263.139946816671</v>
      </c>
      <c r="G218" s="31">
        <f t="shared" si="105"/>
        <v>16455.457937917847</v>
      </c>
      <c r="H218" s="31">
        <f t="shared" si="105"/>
        <v>15574.699869425742</v>
      </c>
      <c r="I218" s="31">
        <f t="shared" si="105"/>
        <v>14632.242930055272</v>
      </c>
      <c r="J218" s="31">
        <f t="shared" si="105"/>
        <v>13631.098971497111</v>
      </c>
      <c r="K218" s="31">
        <f t="shared" si="105"/>
        <v>12579.641614150254</v>
      </c>
      <c r="L218" s="31">
        <f t="shared" si="105"/>
        <v>11496.49578832754</v>
      </c>
      <c r="M218" s="31">
        <f t="shared" si="105"/>
        <v>12205.022583540223</v>
      </c>
      <c r="N218" s="31">
        <f t="shared" si="105"/>
        <v>13173.342536997558</v>
      </c>
      <c r="O218" s="31">
        <f t="shared" ref="O218:Q218" si="106">SUM(O215:O217)</f>
        <v>14662.134465438208</v>
      </c>
      <c r="P218" s="31">
        <f t="shared" si="106"/>
        <v>16188.146192089876</v>
      </c>
      <c r="Q218" s="31">
        <f t="shared" si="106"/>
        <v>0</v>
      </c>
      <c r="R218" s="31"/>
      <c r="S218" s="11">
        <f t="shared" si="101"/>
        <v>193225.45440699914</v>
      </c>
    </row>
    <row r="219" spans="1:20">
      <c r="A219" s="66" t="s">
        <v>100</v>
      </c>
      <c r="B219" s="95"/>
      <c r="C219" s="95"/>
      <c r="D219" s="95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67"/>
    </row>
    <row r="220" spans="1:20">
      <c r="A220" s="68" t="s">
        <v>54</v>
      </c>
      <c r="B220" s="96"/>
      <c r="C220" s="96"/>
      <c r="D220" s="96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67"/>
    </row>
    <row r="221" spans="1:20">
      <c r="A221" s="68" t="s">
        <v>55</v>
      </c>
      <c r="B221" s="31">
        <f>B209</f>
        <v>0</v>
      </c>
      <c r="C221" s="31">
        <f t="shared" ref="C221:N221" si="107">C209</f>
        <v>0</v>
      </c>
      <c r="D221" s="31">
        <f t="shared" si="107"/>
        <v>0</v>
      </c>
      <c r="E221" s="31">
        <f t="shared" si="107"/>
        <v>18189.607028433413</v>
      </c>
      <c r="F221" s="31">
        <f t="shared" si="107"/>
        <v>35480.29708358409</v>
      </c>
      <c r="G221" s="31">
        <f t="shared" si="107"/>
        <v>36652.572111770154</v>
      </c>
      <c r="H221" s="31">
        <f t="shared" si="107"/>
        <v>39284.770700235102</v>
      </c>
      <c r="I221" s="31">
        <f t="shared" si="107"/>
        <v>40514.120206096653</v>
      </c>
      <c r="J221" s="31">
        <f t="shared" si="107"/>
        <v>41704.614632577119</v>
      </c>
      <c r="K221" s="31">
        <f t="shared" si="107"/>
        <v>42652.768563274607</v>
      </c>
      <c r="L221" s="31">
        <f t="shared" si="107"/>
        <v>43855.539692613493</v>
      </c>
      <c r="M221" s="31">
        <f t="shared" si="107"/>
        <v>45137.449215802364</v>
      </c>
      <c r="N221" s="31">
        <f t="shared" si="107"/>
        <v>50312.459838042072</v>
      </c>
      <c r="O221" s="31">
        <f t="shared" ref="O221:Q221" si="108">O209</f>
        <v>51909.207083196154</v>
      </c>
      <c r="P221" s="31">
        <f t="shared" si="108"/>
        <v>53077.167523627577</v>
      </c>
      <c r="Q221" s="31">
        <f t="shared" si="108"/>
        <v>103779.64834830613</v>
      </c>
      <c r="R221" s="31"/>
      <c r="S221" s="11">
        <f t="shared" ref="S221:S222" si="109">SUM(B221:R221)</f>
        <v>602550.22202755895</v>
      </c>
    </row>
    <row r="222" spans="1:20">
      <c r="A222" s="68" t="s">
        <v>56</v>
      </c>
      <c r="B222" s="72">
        <f>MAX(B221-B218,0)</f>
        <v>0</v>
      </c>
      <c r="C222" s="73">
        <f>MAX(SUM($B221:C221)-SUM($B218:C218)-SUM($B222:B222),0)</f>
        <v>0</v>
      </c>
      <c r="D222" s="73">
        <f>MAX(SUM($B221:D221)-SUM($B218:D218)-SUM($B222:C222),0)</f>
        <v>0</v>
      </c>
      <c r="E222" s="73">
        <f>MAX(SUM($B221:E221)-SUM($B218:E218)-SUM($B222:D222),0)</f>
        <v>0</v>
      </c>
      <c r="F222" s="73">
        <f>MAX(SUM($B221:F221)-SUM($B218:F218)-SUM($B222:E222),0)</f>
        <v>1042.7325944579788</v>
      </c>
      <c r="G222" s="73">
        <f>MAX(SUM($B221:G221)-SUM($B218:G218)-SUM($B222:F222),0)</f>
        <v>20197.1141738523</v>
      </c>
      <c r="H222" s="73">
        <f>MAX(SUM($B221:H221)-SUM($B218:H218)-SUM($B222:G222),0)</f>
        <v>23710.070830809374</v>
      </c>
      <c r="I222" s="73">
        <f>MAX(SUM($B221:I221)-SUM($B218:I218)-SUM($B222:H222),0)</f>
        <v>25881.87727604137</v>
      </c>
      <c r="J222" s="73">
        <f>MAX(SUM($B221:J221)-SUM($B218:J218)-SUM($B222:I222),0)</f>
        <v>28073.515661080004</v>
      </c>
      <c r="K222" s="73">
        <f>MAX(SUM($B221:K221)-SUM($B218:K218)-SUM($B222:J222),0)</f>
        <v>30073.126949124358</v>
      </c>
      <c r="L222" s="73">
        <f>MAX(SUM($B221:L221)-SUM($B218:L218)-SUM($B222:K222),0)</f>
        <v>32359.043904285951</v>
      </c>
      <c r="M222" s="73">
        <f>MAX(SUM($B221:M221)-SUM($B218:M218)-SUM($B222:L222),0)</f>
        <v>32932.426632262155</v>
      </c>
      <c r="N222" s="73">
        <f>MAX(SUM($B221:N221)-SUM($B218:N218)-SUM($B222:M222),0)</f>
        <v>37139.117301044549</v>
      </c>
      <c r="O222" s="73">
        <f>MAX(SUM($B221:O221)-SUM($B218:O218)-SUM($B222:N222),0)</f>
        <v>37247.07261775792</v>
      </c>
      <c r="P222" s="73">
        <f>MAX(SUM($B221:P221)-SUM($B218:P218)-SUM($B222:O222),0)</f>
        <v>36889.021331537748</v>
      </c>
      <c r="Q222" s="73">
        <f>MAX(SUM($B221:Q221)-SUM($B218:Q218)-SUM($B222:P222),0)</f>
        <v>103779.64834830607</v>
      </c>
      <c r="R222" s="73"/>
      <c r="S222" s="11">
        <f t="shared" si="109"/>
        <v>409324.76762055978</v>
      </c>
      <c r="T222" s="2">
        <f>S221-S218</f>
        <v>409324.76762055978</v>
      </c>
    </row>
    <row r="223" spans="1:20">
      <c r="A223" s="129" t="s">
        <v>20</v>
      </c>
      <c r="B223" s="27">
        <f>Input!$B$332</f>
        <v>0.3</v>
      </c>
      <c r="C223" s="27">
        <f>Input!$B$332</f>
        <v>0.3</v>
      </c>
      <c r="D223" s="27">
        <f>Input!$B$332</f>
        <v>0.3</v>
      </c>
      <c r="E223" s="27">
        <f>Input!$B$332</f>
        <v>0.3</v>
      </c>
      <c r="F223" s="27">
        <f>Input!$B$332</f>
        <v>0.3</v>
      </c>
      <c r="G223" s="27">
        <f>Input!$B$332</f>
        <v>0.3</v>
      </c>
      <c r="H223" s="27">
        <f>Input!$B$332</f>
        <v>0.3</v>
      </c>
      <c r="I223" s="27">
        <f>Input!$B$332</f>
        <v>0.3</v>
      </c>
      <c r="J223" s="27">
        <f>Input!$B$332</f>
        <v>0.3</v>
      </c>
      <c r="K223" s="27">
        <f>Input!$B$332</f>
        <v>0.3</v>
      </c>
      <c r="L223" s="27">
        <f>Input!$B$332</f>
        <v>0.3</v>
      </c>
      <c r="M223" s="27">
        <f>Input!$B$332</f>
        <v>0.3</v>
      </c>
      <c r="N223" s="27">
        <f>Input!$B$332</f>
        <v>0.3</v>
      </c>
      <c r="O223" s="27">
        <f>Input!$B$332</f>
        <v>0.3</v>
      </c>
      <c r="P223" s="27">
        <f>Input!$B$332</f>
        <v>0.3</v>
      </c>
      <c r="Q223" s="27">
        <f>Input!$B$332</f>
        <v>0.3</v>
      </c>
      <c r="R223" s="27"/>
      <c r="S223" s="67"/>
    </row>
    <row r="224" spans="1:20">
      <c r="A224" s="101" t="s">
        <v>160</v>
      </c>
      <c r="B224" s="31">
        <f t="shared" ref="B224:N224" si="110">B222*B223</f>
        <v>0</v>
      </c>
      <c r="C224" s="31">
        <f t="shared" si="110"/>
        <v>0</v>
      </c>
      <c r="D224" s="31">
        <f t="shared" si="110"/>
        <v>0</v>
      </c>
      <c r="E224" s="31">
        <f t="shared" si="110"/>
        <v>0</v>
      </c>
      <c r="F224" s="31">
        <f t="shared" si="110"/>
        <v>312.81977833739364</v>
      </c>
      <c r="G224" s="31">
        <f t="shared" si="110"/>
        <v>6059.1342521556899</v>
      </c>
      <c r="H224" s="31">
        <f t="shared" si="110"/>
        <v>7113.0212492428118</v>
      </c>
      <c r="I224" s="31">
        <f t="shared" si="110"/>
        <v>7764.5631828124106</v>
      </c>
      <c r="J224" s="31">
        <f t="shared" si="110"/>
        <v>8422.0546983240001</v>
      </c>
      <c r="K224" s="31">
        <f t="shared" si="110"/>
        <v>9021.9380847373068</v>
      </c>
      <c r="L224" s="31">
        <f t="shared" si="110"/>
        <v>9707.7131712857845</v>
      </c>
      <c r="M224" s="31">
        <f t="shared" si="110"/>
        <v>9879.7279896786458</v>
      </c>
      <c r="N224" s="31">
        <f t="shared" si="110"/>
        <v>11141.735190313364</v>
      </c>
      <c r="O224" s="31">
        <f t="shared" ref="O224:Q224" si="111">O222*O223</f>
        <v>11174.121785327376</v>
      </c>
      <c r="P224" s="31">
        <f t="shared" si="111"/>
        <v>11066.706399461324</v>
      </c>
      <c r="Q224" s="31">
        <f t="shared" si="111"/>
        <v>31133.894504491822</v>
      </c>
      <c r="R224" s="31"/>
      <c r="S224" s="11">
        <f>SUM(B224:R224)</f>
        <v>122797.43028616793</v>
      </c>
    </row>
    <row r="225" spans="1:19">
      <c r="A225" s="80" t="s">
        <v>161</v>
      </c>
      <c r="B225" s="58">
        <f t="shared" ref="B225:D225" si="112">B224</f>
        <v>0</v>
      </c>
      <c r="C225" s="58">
        <f t="shared" si="112"/>
        <v>0</v>
      </c>
      <c r="D225" s="58">
        <f t="shared" si="112"/>
        <v>0</v>
      </c>
      <c r="E225" s="58">
        <f>E224</f>
        <v>0</v>
      </c>
      <c r="F225" s="58">
        <f>F224</f>
        <v>312.81977833739364</v>
      </c>
      <c r="G225" s="58">
        <f>G224</f>
        <v>6059.1342521556899</v>
      </c>
      <c r="H225" s="58">
        <f>H224</f>
        <v>7113.0212492428118</v>
      </c>
      <c r="I225" s="58">
        <f t="shared" ref="I225:N225" si="113">I224</f>
        <v>7764.5631828124106</v>
      </c>
      <c r="J225" s="58">
        <f t="shared" si="113"/>
        <v>8422.0546983240001</v>
      </c>
      <c r="K225" s="58">
        <f t="shared" si="113"/>
        <v>9021.9380847373068</v>
      </c>
      <c r="L225" s="58">
        <f t="shared" si="113"/>
        <v>9707.7131712857845</v>
      </c>
      <c r="M225" s="58">
        <f t="shared" si="113"/>
        <v>9879.7279896786458</v>
      </c>
      <c r="N225" s="58">
        <f t="shared" si="113"/>
        <v>11141.735190313364</v>
      </c>
      <c r="O225" s="58">
        <f t="shared" ref="O225:Q225" si="114">O224</f>
        <v>11174.121785327376</v>
      </c>
      <c r="P225" s="58">
        <f t="shared" si="114"/>
        <v>11066.706399461324</v>
      </c>
      <c r="Q225" s="58">
        <f t="shared" si="114"/>
        <v>31133.894504491822</v>
      </c>
      <c r="R225" s="58"/>
      <c r="S225" s="59">
        <f>SUM(B225:R225)</f>
        <v>122797.43028616793</v>
      </c>
    </row>
    <row r="226" spans="1:19">
      <c r="A226" s="66" t="s">
        <v>162</v>
      </c>
      <c r="B226" s="96"/>
      <c r="C226" s="96"/>
      <c r="D226" s="96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67"/>
    </row>
    <row r="227" spans="1:19">
      <c r="A227" s="80" t="s">
        <v>161</v>
      </c>
      <c r="B227" s="130">
        <f>B225</f>
        <v>0</v>
      </c>
      <c r="C227" s="130">
        <f>C225/(1+Input!$D$311)</f>
        <v>0</v>
      </c>
      <c r="D227" s="130">
        <f>D225/(1+Input!$D$311)^2</f>
        <v>0</v>
      </c>
      <c r="E227" s="130">
        <f>E225/(1+Input!$D$311)^3</f>
        <v>0</v>
      </c>
      <c r="F227" s="130">
        <f>F225/(1+Input!$D$311)^4</f>
        <v>283.39927989087823</v>
      </c>
      <c r="G227" s="130">
        <f>G225/(1+Input!$D$311)^5</f>
        <v>5355.3917879694918</v>
      </c>
      <c r="H227" s="130">
        <f>H225/(1+Input!$D$311)^6</f>
        <v>6133.5359307325498</v>
      </c>
      <c r="I227" s="130">
        <f>I225/(1+Input!$D$311)^7</f>
        <v>6532.0570713087436</v>
      </c>
      <c r="J227" s="130">
        <f>J225/(1+Input!$D$311)^8</f>
        <v>6912.3725128497117</v>
      </c>
      <c r="K227" s="130">
        <f>K225/(1+Input!$D$311)^9</f>
        <v>7224.1217025718825</v>
      </c>
      <c r="L227" s="130">
        <f>L225/(1+Input!$D$311)^10</f>
        <v>7583.6500138202446</v>
      </c>
      <c r="M227" s="130">
        <f>M225/(1+Input!$D$311)^11</f>
        <v>7529.7831366067212</v>
      </c>
      <c r="N227" s="130">
        <f>N225/(1+Input!$D$311)^12</f>
        <v>8284.5027703739106</v>
      </c>
      <c r="O227" s="130">
        <f>O225/(1+Input!$D$311)^13</f>
        <v>8105.9356231152769</v>
      </c>
      <c r="P227" s="130">
        <f>P225/(1+Input!$D$311)^14</f>
        <v>7832.2090863895719</v>
      </c>
      <c r="Q227" s="130">
        <f>Q225/(1+Input!$D$311)^15</f>
        <v>21496.881805610185</v>
      </c>
      <c r="R227" s="130"/>
      <c r="S227" s="92">
        <f>SUM(B227:R227)</f>
        <v>93273.840721239176</v>
      </c>
    </row>
    <row r="228" spans="1:19">
      <c r="A228" s="80"/>
      <c r="B228" s="96"/>
      <c r="C228" s="96"/>
      <c r="D228" s="96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67"/>
    </row>
    <row r="229" spans="1:19">
      <c r="A229" s="52"/>
      <c r="B229" s="51"/>
      <c r="C229" s="51"/>
      <c r="D229" s="51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1"/>
    </row>
    <row r="232" spans="1:19">
      <c r="A232" s="13" t="s">
        <v>0</v>
      </c>
      <c r="B232" s="77"/>
      <c r="C232" s="77"/>
      <c r="D232" s="7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5"/>
    </row>
    <row r="233" spans="1:19">
      <c r="A233" s="16" t="str">
        <f>Title!$F$10</f>
        <v>ARTHUR RIVER MAGNESITE PROJECT</v>
      </c>
      <c r="B233" s="78"/>
      <c r="C233" s="78"/>
      <c r="D233" s="78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</row>
    <row r="234" spans="1:19">
      <c r="A234" s="16" t="str">
        <f>Title!$F$12</f>
        <v>ORDER OF MAGNITUDE COST STUDY: CALCINE PRODUCTION ONLY</v>
      </c>
      <c r="B234" s="78"/>
      <c r="C234" s="78"/>
      <c r="D234" s="78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</row>
    <row r="235" spans="1:19">
      <c r="A235" s="19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 t="str">
        <f>Title!$F$19</f>
        <v>3 October 2011</v>
      </c>
      <c r="S235" s="18"/>
    </row>
    <row r="236" spans="1:19">
      <c r="A236" s="20" t="s">
        <v>163</v>
      </c>
      <c r="B236" s="79"/>
      <c r="C236" s="79"/>
      <c r="D236" s="79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</row>
    <row r="237" spans="1:19">
      <c r="A237" s="38"/>
      <c r="B237" s="41" t="s">
        <v>26</v>
      </c>
      <c r="C237" s="41" t="s">
        <v>26</v>
      </c>
      <c r="D237" s="41" t="s">
        <v>26</v>
      </c>
      <c r="E237" s="41" t="s">
        <v>26</v>
      </c>
      <c r="F237" s="41" t="s">
        <v>26</v>
      </c>
      <c r="G237" s="41" t="s">
        <v>26</v>
      </c>
      <c r="H237" s="41" t="s">
        <v>26</v>
      </c>
      <c r="I237" s="41" t="s">
        <v>26</v>
      </c>
      <c r="J237" s="41" t="s">
        <v>26</v>
      </c>
      <c r="K237" s="41" t="s">
        <v>26</v>
      </c>
      <c r="L237" s="41" t="s">
        <v>26</v>
      </c>
      <c r="M237" s="41" t="s">
        <v>26</v>
      </c>
      <c r="N237" s="41" t="s">
        <v>26</v>
      </c>
      <c r="O237" s="41" t="s">
        <v>26</v>
      </c>
      <c r="P237" s="41" t="s">
        <v>26</v>
      </c>
      <c r="Q237" s="41" t="s">
        <v>26</v>
      </c>
      <c r="R237" s="41"/>
      <c r="S237" s="42" t="s">
        <v>5</v>
      </c>
    </row>
    <row r="238" spans="1:19">
      <c r="A238" s="8"/>
      <c r="B238" s="43">
        <v>-3</v>
      </c>
      <c r="C238" s="43">
        <v>-2</v>
      </c>
      <c r="D238" s="43">
        <v>-1</v>
      </c>
      <c r="E238" s="43">
        <v>1</v>
      </c>
      <c r="F238" s="43">
        <v>2</v>
      </c>
      <c r="G238" s="43">
        <v>3</v>
      </c>
      <c r="H238" s="43">
        <v>4</v>
      </c>
      <c r="I238" s="43">
        <v>5</v>
      </c>
      <c r="J238" s="43">
        <v>6</v>
      </c>
      <c r="K238" s="43">
        <v>7</v>
      </c>
      <c r="L238" s="43">
        <v>8</v>
      </c>
      <c r="M238" s="43">
        <v>9</v>
      </c>
      <c r="N238" s="43">
        <v>10</v>
      </c>
      <c r="O238" s="43">
        <v>11</v>
      </c>
      <c r="P238" s="43">
        <v>12</v>
      </c>
      <c r="Q238" s="43">
        <v>13</v>
      </c>
      <c r="R238" s="43"/>
      <c r="S238" s="8"/>
    </row>
    <row r="239" spans="1:19">
      <c r="A239" s="60" t="s">
        <v>164</v>
      </c>
      <c r="B239" s="88"/>
      <c r="C239" s="88"/>
      <c r="D239" s="88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38"/>
    </row>
    <row r="240" spans="1:19">
      <c r="A240" s="5" t="s">
        <v>105</v>
      </c>
      <c r="B240" s="98">
        <f t="shared" ref="B240:N240" si="115">B163</f>
        <v>-2200</v>
      </c>
      <c r="C240" s="98">
        <f t="shared" si="115"/>
        <v>-26780</v>
      </c>
      <c r="D240" s="98">
        <f t="shared" si="115"/>
        <v>-81671.989144749095</v>
      </c>
      <c r="E240" s="98">
        <f t="shared" si="115"/>
        <v>14630.85837146499</v>
      </c>
      <c r="F240" s="98">
        <f t="shared" si="115"/>
        <v>29883.398020559878</v>
      </c>
      <c r="G240" s="98">
        <f t="shared" si="115"/>
        <v>30135.533012905078</v>
      </c>
      <c r="H240" s="98">
        <f t="shared" si="115"/>
        <v>31715.134654789785</v>
      </c>
      <c r="I240" s="98">
        <f t="shared" si="115"/>
        <v>31923.1208593798</v>
      </c>
      <c r="J240" s="98">
        <f t="shared" si="115"/>
        <v>32068.919446769163</v>
      </c>
      <c r="K240" s="98">
        <f t="shared" si="115"/>
        <v>31993.281496577656</v>
      </c>
      <c r="L240" s="98">
        <f t="shared" si="115"/>
        <v>32099.877514688851</v>
      </c>
      <c r="M240" s="98">
        <f t="shared" si="115"/>
        <v>32241.271400352172</v>
      </c>
      <c r="N240" s="98">
        <f t="shared" si="115"/>
        <v>35250.12560368191</v>
      </c>
      <c r="O240" s="98">
        <f t="shared" ref="O240:Q240" si="116">O163</f>
        <v>35495.996502191323</v>
      </c>
      <c r="P240" s="98">
        <f t="shared" si="116"/>
        <v>36484.154930378587</v>
      </c>
      <c r="Q240" s="98">
        <f t="shared" si="116"/>
        <v>71656.272685367323</v>
      </c>
      <c r="R240" s="98"/>
      <c r="S240" s="11">
        <f>SUM(B240:R240)</f>
        <v>334925.95535435743</v>
      </c>
    </row>
    <row r="241" spans="1:20">
      <c r="A241" s="5" t="s">
        <v>75</v>
      </c>
      <c r="B241" s="98">
        <f>B186</f>
        <v>0</v>
      </c>
      <c r="C241" s="98">
        <f t="shared" ref="C241:N241" si="117">C186</f>
        <v>0</v>
      </c>
      <c r="D241" s="98">
        <f t="shared" si="117"/>
        <v>-69087.189144749093</v>
      </c>
      <c r="E241" s="98">
        <f t="shared" si="117"/>
        <v>-2260</v>
      </c>
      <c r="F241" s="98">
        <f t="shared" si="117"/>
        <v>17951.866615808856</v>
      </c>
      <c r="G241" s="98">
        <f t="shared" si="117"/>
        <v>17514.016210545229</v>
      </c>
      <c r="H241" s="98">
        <f t="shared" si="117"/>
        <v>17086.84508345876</v>
      </c>
      <c r="I241" s="98">
        <f t="shared" si="117"/>
        <v>16670.092764350011</v>
      </c>
      <c r="J241" s="98">
        <f t="shared" si="117"/>
        <v>16263.505135951227</v>
      </c>
      <c r="K241" s="98">
        <f t="shared" si="117"/>
        <v>15866.834278976816</v>
      </c>
      <c r="L241" s="98">
        <f t="shared" si="117"/>
        <v>0</v>
      </c>
      <c r="M241" s="98">
        <f t="shared" si="117"/>
        <v>0</v>
      </c>
      <c r="N241" s="98">
        <f t="shared" si="117"/>
        <v>0</v>
      </c>
      <c r="O241" s="98">
        <f t="shared" ref="O241:Q241" si="118">O186</f>
        <v>0</v>
      </c>
      <c r="P241" s="98">
        <f t="shared" si="118"/>
        <v>0</v>
      </c>
      <c r="Q241" s="98">
        <f t="shared" si="118"/>
        <v>0</v>
      </c>
      <c r="R241" s="98"/>
      <c r="S241" s="11">
        <f t="shared" ref="S241:S242" si="119">SUM(B241:R241)</f>
        <v>30005.970944341814</v>
      </c>
    </row>
    <row r="242" spans="1:20">
      <c r="A242" s="5" t="s">
        <v>452</v>
      </c>
      <c r="B242" s="98">
        <f>B177</f>
        <v>-2200</v>
      </c>
      <c r="C242" s="98">
        <f t="shared" ref="C242:N242" si="120">C177</f>
        <v>-26780</v>
      </c>
      <c r="D242" s="98">
        <f t="shared" si="120"/>
        <v>-12584.800000000003</v>
      </c>
      <c r="E242" s="98">
        <f t="shared" si="120"/>
        <v>16890.85837146499</v>
      </c>
      <c r="F242" s="98">
        <f t="shared" si="120"/>
        <v>11931.531404751022</v>
      </c>
      <c r="G242" s="98">
        <f t="shared" si="120"/>
        <v>12621.516802359849</v>
      </c>
      <c r="H242" s="98">
        <f t="shared" si="120"/>
        <v>14628.289571331024</v>
      </c>
      <c r="I242" s="98">
        <f t="shared" si="120"/>
        <v>15253.028095029789</v>
      </c>
      <c r="J242" s="98">
        <f t="shared" si="120"/>
        <v>15805.414310817934</v>
      </c>
      <c r="K242" s="98">
        <f t="shared" si="120"/>
        <v>16126.447217600842</v>
      </c>
      <c r="L242" s="98">
        <f t="shared" si="120"/>
        <v>32099.877514688851</v>
      </c>
      <c r="M242" s="98">
        <f t="shared" si="120"/>
        <v>32241.271400352176</v>
      </c>
      <c r="N242" s="98">
        <f t="shared" si="120"/>
        <v>35250.125603681903</v>
      </c>
      <c r="O242" s="98">
        <f t="shared" ref="O242:Q242" si="121">O177</f>
        <v>35495.99650219133</v>
      </c>
      <c r="P242" s="98">
        <f t="shared" si="121"/>
        <v>36484.154930378587</v>
      </c>
      <c r="Q242" s="98">
        <f t="shared" si="121"/>
        <v>71656.272685367323</v>
      </c>
      <c r="R242" s="98"/>
      <c r="S242" s="11">
        <f t="shared" si="119"/>
        <v>304919.98441001563</v>
      </c>
      <c r="T242" s="2"/>
    </row>
    <row r="243" spans="1:20">
      <c r="A243" s="5" t="s">
        <v>453</v>
      </c>
      <c r="B243" s="91">
        <f>B177-B227</f>
        <v>-2200</v>
      </c>
      <c r="C243" s="91">
        <f t="shared" ref="C243:N243" si="122">C177-C227</f>
        <v>-26780</v>
      </c>
      <c r="D243" s="91">
        <f t="shared" si="122"/>
        <v>-12584.800000000003</v>
      </c>
      <c r="E243" s="91">
        <f t="shared" si="122"/>
        <v>16890.85837146499</v>
      </c>
      <c r="F243" s="91">
        <f t="shared" si="122"/>
        <v>11648.132124860143</v>
      </c>
      <c r="G243" s="91">
        <f t="shared" si="122"/>
        <v>7266.1250143903571</v>
      </c>
      <c r="H243" s="91">
        <f t="shared" si="122"/>
        <v>8494.7536405984756</v>
      </c>
      <c r="I243" s="91">
        <f t="shared" si="122"/>
        <v>8720.9710237210456</v>
      </c>
      <c r="J243" s="91">
        <f t="shared" si="122"/>
        <v>8893.0417979682225</v>
      </c>
      <c r="K243" s="91">
        <f t="shared" si="122"/>
        <v>8902.3255150289588</v>
      </c>
      <c r="L243" s="91">
        <f t="shared" si="122"/>
        <v>24516.227500868605</v>
      </c>
      <c r="M243" s="91">
        <f t="shared" si="122"/>
        <v>24711.488263745454</v>
      </c>
      <c r="N243" s="91">
        <f t="shared" si="122"/>
        <v>26965.622833307993</v>
      </c>
      <c r="O243" s="91">
        <f t="shared" ref="O243:Q243" si="123">O177-O227</f>
        <v>27390.060879076053</v>
      </c>
      <c r="P243" s="91">
        <f t="shared" si="123"/>
        <v>28651.945843989015</v>
      </c>
      <c r="Q243" s="91">
        <f t="shared" si="123"/>
        <v>50159.390879757135</v>
      </c>
      <c r="R243" s="91"/>
      <c r="S243" s="92">
        <f>SUM(B243:R243)</f>
        <v>211646.14368877641</v>
      </c>
      <c r="T243" s="2">
        <f>S177-S227</f>
        <v>211646.14368877647</v>
      </c>
    </row>
    <row r="244" spans="1:20">
      <c r="A244" s="7"/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8"/>
      <c r="P244" s="98"/>
      <c r="Q244" s="98"/>
      <c r="R244" s="98"/>
      <c r="S244" s="11"/>
      <c r="T244" s="2"/>
    </row>
    <row r="245" spans="1:20">
      <c r="A245" s="60" t="s">
        <v>78</v>
      </c>
      <c r="B245" s="88"/>
      <c r="C245" s="88"/>
      <c r="D245" s="88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38"/>
    </row>
    <row r="246" spans="1:20">
      <c r="A246" s="40" t="s">
        <v>147</v>
      </c>
      <c r="B246" s="118">
        <f>Input!$B$327</f>
        <v>0.1</v>
      </c>
      <c r="C246" s="85"/>
      <c r="D246" s="8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6"/>
    </row>
    <row r="247" spans="1:20">
      <c r="A247" s="5" t="s">
        <v>105</v>
      </c>
      <c r="B247" s="87">
        <f>B240/(1+Input!$B$329)</f>
        <v>-2097.6176963403027</v>
      </c>
      <c r="C247" s="87">
        <f>C240/(1+Input!$B$329)^3</f>
        <v>-23212.480127269962</v>
      </c>
      <c r="D247" s="87">
        <f>D240/(1+Input!$B$329)^5</f>
        <v>-64356.352263463115</v>
      </c>
      <c r="E247" s="87">
        <f>E240/(1+Input!$B$329)^7</f>
        <v>10480.823520467735</v>
      </c>
      <c r="F247" s="87">
        <f>F240/(1+Input!$B$329)^9</f>
        <v>19460.898881319321</v>
      </c>
      <c r="G247" s="87">
        <f>G240/(1+Input!$B$329)^11</f>
        <v>17840.996538227326</v>
      </c>
      <c r="H247" s="87">
        <f>H240/(1+Input!$B$329)^13</f>
        <v>17069.236908143987</v>
      </c>
      <c r="I247" s="87">
        <f>I240/(1+Input!$B$329)^15</f>
        <v>15619.250978699896</v>
      </c>
      <c r="J247" s="87">
        <f>J240/(1+Input!$B$329)^17</f>
        <v>14264.169894609982</v>
      </c>
      <c r="K247" s="87">
        <f>K240/(1+Input!$B$329)^19</f>
        <v>12936.842123606724</v>
      </c>
      <c r="L247" s="87">
        <f>L240/(1+Input!$B$329)^21</f>
        <v>11799.950380748898</v>
      </c>
      <c r="M247" s="87">
        <f>M240/(1+Input!$B$329)^23</f>
        <v>10774.479026433637</v>
      </c>
      <c r="N247" s="87">
        <f>N240/(1+Input!$B$329)^25</f>
        <v>10709.07855620205</v>
      </c>
      <c r="O247" s="87">
        <f>O240/(1+Input!$B$329)^27</f>
        <v>9803.4316051792284</v>
      </c>
      <c r="P247" s="87">
        <f>P240/(1+Input!$B$329)^29</f>
        <v>9160.3139093228692</v>
      </c>
      <c r="Q247" s="87">
        <f>Q240/(1+Input!$B$329)^31</f>
        <v>16355.641924869373</v>
      </c>
      <c r="R247" s="87"/>
      <c r="S247" s="11">
        <f t="shared" ref="S247:S249" si="124">SUM(B247:R247)</f>
        <v>86608.664160757646</v>
      </c>
    </row>
    <row r="248" spans="1:20">
      <c r="A248" s="5" t="s">
        <v>75</v>
      </c>
      <c r="B248" s="87">
        <f>B241/(1+Input!$B$329)</f>
        <v>0</v>
      </c>
      <c r="C248" s="87">
        <f>C241/(1+Input!$B$329)^3</f>
        <v>0</v>
      </c>
      <c r="D248" s="87">
        <f>D241/(1+Input!$B$329)^5</f>
        <v>-54439.710946820196</v>
      </c>
      <c r="E248" s="87">
        <f>E241/(1+Input!$B$329)^7</f>
        <v>-1618.9522552179099</v>
      </c>
      <c r="F248" s="87">
        <f>F241/(1+Input!$B$329)^9</f>
        <v>11690.754200738074</v>
      </c>
      <c r="G248" s="87">
        <f>G241/(1+Input!$B$329)^11</f>
        <v>10368.739867616918</v>
      </c>
      <c r="H248" s="87">
        <f>H241/(1+Input!$B$329)^13</f>
        <v>9196.22161207709</v>
      </c>
      <c r="I248" s="87">
        <f>I241/(1+Input!$B$329)^15</f>
        <v>8156.2941127069525</v>
      </c>
      <c r="J248" s="87">
        <f>J241/(1+Input!$B$329)^17</f>
        <v>7233.963736325456</v>
      </c>
      <c r="K248" s="87">
        <f>K241/(1+Input!$B$329)^19</f>
        <v>6415.9323603773473</v>
      </c>
      <c r="L248" s="87">
        <f>L241/(1+Input!$B$329)^21</f>
        <v>0</v>
      </c>
      <c r="M248" s="87">
        <f>M241/(1+Input!$B$329)^23</f>
        <v>0</v>
      </c>
      <c r="N248" s="87">
        <f>N241/(1+Input!$B$329)^25</f>
        <v>0</v>
      </c>
      <c r="O248" s="87">
        <f>O241/(1+Input!$B$329)^27</f>
        <v>0</v>
      </c>
      <c r="P248" s="87">
        <f>P241/(1+Input!$B$329)^29</f>
        <v>0</v>
      </c>
      <c r="Q248" s="87">
        <f>Q241/(1+Input!$B$329)^31</f>
        <v>0</v>
      </c>
      <c r="R248" s="87"/>
      <c r="S248" s="11">
        <f t="shared" si="124"/>
        <v>-2996.7573121962678</v>
      </c>
    </row>
    <row r="249" spans="1:20">
      <c r="A249" s="5" t="s">
        <v>452</v>
      </c>
      <c r="B249" s="87">
        <f>B242/(1+Input!$B$329)</f>
        <v>-2097.6176963403027</v>
      </c>
      <c r="C249" s="87">
        <f>C242/(1+Input!$B$329)^3</f>
        <v>-23212.480127269962</v>
      </c>
      <c r="D249" s="87">
        <f>D242/(1+Input!$B$329)^5</f>
        <v>-9916.6413166429174</v>
      </c>
      <c r="E249" s="87">
        <f>E242/(1+Input!$B$329)^7</f>
        <v>12099.775775685644</v>
      </c>
      <c r="F249" s="87">
        <f>F242/(1+Input!$B$329)^9</f>
        <v>7770.1446805812475</v>
      </c>
      <c r="G249" s="87">
        <f>G242/(1+Input!$B$329)^11</f>
        <v>7472.2566706104062</v>
      </c>
      <c r="H249" s="87">
        <f>H242/(1+Input!$B$329)^13</f>
        <v>7873.0152960668966</v>
      </c>
      <c r="I249" s="87">
        <f>I242/(1+Input!$B$329)^15</f>
        <v>7462.9568659929437</v>
      </c>
      <c r="J249" s="87">
        <f>J242/(1+Input!$B$329)^17</f>
        <v>7030.2061582845263</v>
      </c>
      <c r="K249" s="87">
        <f>K242/(1+Input!$B$329)^19</f>
        <v>6520.9097632293769</v>
      </c>
      <c r="L249" s="87">
        <f>L242/(1+Input!$B$329)^21</f>
        <v>11799.950380748898</v>
      </c>
      <c r="M249" s="87">
        <f>M242/(1+Input!$B$329)^23</f>
        <v>10774.479026433639</v>
      </c>
      <c r="N249" s="87">
        <f>N242/(1+Input!$B$329)^25</f>
        <v>10709.078556202048</v>
      </c>
      <c r="O249" s="87">
        <f>O242/(1+Input!$B$329)^27</f>
        <v>9803.4316051792302</v>
      </c>
      <c r="P249" s="87">
        <f>P242/(1+Input!$B$329)^29</f>
        <v>9160.3139093228692</v>
      </c>
      <c r="Q249" s="87">
        <f>Q242/(1+Input!$B$329)^31</f>
        <v>16355.641924869373</v>
      </c>
      <c r="R249" s="87"/>
      <c r="S249" s="11">
        <f t="shared" si="124"/>
        <v>89605.421472953924</v>
      </c>
    </row>
    <row r="250" spans="1:20">
      <c r="A250" s="5" t="s">
        <v>453</v>
      </c>
      <c r="B250" s="91">
        <f>B243/(1+Input!$B$329)</f>
        <v>-2097.6176963403027</v>
      </c>
      <c r="C250" s="91">
        <f>C243/(1+Input!$B$329)^3</f>
        <v>-23212.480127269962</v>
      </c>
      <c r="D250" s="91">
        <f>D243/(1+Input!$B$329)^5</f>
        <v>-9916.6413166429174</v>
      </c>
      <c r="E250" s="91">
        <f>E243/(1+Input!$B$329)^7</f>
        <v>12099.775775685644</v>
      </c>
      <c r="F250" s="91">
        <f>F243/(1+Input!$B$329)^9</f>
        <v>7585.5871973525791</v>
      </c>
      <c r="G250" s="91">
        <f>G243/(1+Input!$B$329)^11</f>
        <v>4301.7294956273436</v>
      </c>
      <c r="H250" s="91">
        <f>H243/(1+Input!$B$329)^13</f>
        <v>4571.9169710602346</v>
      </c>
      <c r="I250" s="91">
        <f>I243/(1+Input!$B$329)^15</f>
        <v>4266.9711334769154</v>
      </c>
      <c r="J250" s="91">
        <f>J243/(1+Input!$B$329)^17</f>
        <v>3955.6012885512564</v>
      </c>
      <c r="K250" s="91">
        <f>K243/(1+Input!$B$329)^19</f>
        <v>3599.7551465049046</v>
      </c>
      <c r="L250" s="91">
        <f>L243/(1+Input!$B$329)^21</f>
        <v>9012.1922708590519</v>
      </c>
      <c r="M250" s="91">
        <f>M243/(1+Input!$B$329)^23</f>
        <v>8258.1548569693841</v>
      </c>
      <c r="N250" s="91">
        <f>N243/(1+Input!$B$329)^25</f>
        <v>8192.2253692238755</v>
      </c>
      <c r="O250" s="91">
        <f>O243/(1+Input!$B$329)^27</f>
        <v>7564.7006690780081</v>
      </c>
      <c r="P250" s="91">
        <f>P243/(1+Input!$B$329)^29</f>
        <v>7193.8302680904299</v>
      </c>
      <c r="Q250" s="91">
        <f>Q243/(1+Input!$B$329)^31</f>
        <v>11448.949347408563</v>
      </c>
      <c r="R250" s="91"/>
      <c r="S250" s="92">
        <f>SUM(B250:R250)</f>
        <v>56824.650649635012</v>
      </c>
    </row>
    <row r="251" spans="1:20">
      <c r="A251" s="7"/>
      <c r="B251" s="97"/>
      <c r="C251" s="97"/>
      <c r="D251" s="97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52"/>
    </row>
    <row r="252" spans="1:20">
      <c r="A252" s="3" t="s">
        <v>79</v>
      </c>
      <c r="B252" s="85"/>
      <c r="C252" s="85"/>
      <c r="D252" s="85"/>
      <c r="E252" s="4"/>
      <c r="F252" s="4"/>
      <c r="G252" s="4"/>
      <c r="H252" s="4"/>
      <c r="I252" s="4"/>
      <c r="J252" s="4"/>
      <c r="K252" s="4"/>
      <c r="L252" s="4"/>
      <c r="M252" s="4"/>
      <c r="N252" s="26"/>
      <c r="O252" s="4"/>
      <c r="P252" s="4"/>
      <c r="Q252" s="4"/>
      <c r="R252" s="4"/>
    </row>
    <row r="253" spans="1:20">
      <c r="A253" s="9" t="s">
        <v>105</v>
      </c>
      <c r="B253" s="54">
        <f>IRR(B240:N240,0.1)</f>
        <v>0.20128492192965353</v>
      </c>
      <c r="C253" s="12"/>
      <c r="D253" s="12"/>
      <c r="F253" s="4"/>
      <c r="G253" s="4"/>
      <c r="H253" s="4"/>
      <c r="I253" s="4"/>
      <c r="J253" s="4"/>
      <c r="K253" s="4"/>
      <c r="L253" s="4"/>
      <c r="M253" s="4"/>
      <c r="N253" s="26"/>
      <c r="O253" s="4"/>
      <c r="P253" s="4"/>
      <c r="Q253" s="4"/>
      <c r="R253" s="4"/>
    </row>
    <row r="254" spans="1:20">
      <c r="A254" s="9" t="s">
        <v>75</v>
      </c>
      <c r="B254" s="54">
        <f>IRR(B241:N241,0.1)</f>
        <v>8.5508960793885036E-2</v>
      </c>
      <c r="C254" s="12"/>
      <c r="D254" s="12"/>
      <c r="F254" s="4"/>
      <c r="G254" s="4"/>
      <c r="H254" s="4"/>
      <c r="I254" s="4"/>
      <c r="J254" s="4"/>
      <c r="K254" s="4"/>
      <c r="L254" s="4"/>
      <c r="M254" s="4"/>
      <c r="N254" s="26"/>
      <c r="O254" s="4"/>
      <c r="P254" s="4"/>
      <c r="Q254" s="4"/>
      <c r="R254" s="4"/>
    </row>
    <row r="255" spans="1:20">
      <c r="A255" s="9" t="s">
        <v>452</v>
      </c>
      <c r="B255" s="54">
        <f t="shared" ref="B255:B256" si="125">IRR(B242:N242,0.1)</f>
        <v>0.29632342449040561</v>
      </c>
      <c r="C255" s="12"/>
      <c r="D255" s="12"/>
      <c r="F255" s="4"/>
      <c r="G255" s="4"/>
      <c r="H255" s="4"/>
      <c r="I255" s="4"/>
      <c r="J255" s="4"/>
      <c r="K255" s="4"/>
      <c r="L255" s="4"/>
      <c r="M255" s="4"/>
      <c r="N255" s="26"/>
      <c r="O255" s="4"/>
      <c r="P255" s="4"/>
      <c r="Q255" s="4"/>
      <c r="R255" s="4"/>
    </row>
    <row r="256" spans="1:20">
      <c r="A256" s="9" t="s">
        <v>453</v>
      </c>
      <c r="B256" s="54">
        <f t="shared" si="125"/>
        <v>0.22934195796327805</v>
      </c>
      <c r="C256" s="4"/>
      <c r="D256" s="4"/>
      <c r="F256" s="4"/>
      <c r="G256" s="4"/>
      <c r="H256" s="4"/>
      <c r="I256" s="4"/>
      <c r="J256" s="4"/>
      <c r="K256" s="4"/>
      <c r="L256" s="4"/>
      <c r="M256" s="4"/>
      <c r="N256" s="26"/>
      <c r="O256" s="4"/>
      <c r="P256" s="4"/>
      <c r="Q256" s="4"/>
      <c r="R256" s="4"/>
    </row>
    <row r="257" spans="1:18">
      <c r="A257" s="48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5"/>
      <c r="O257" s="4"/>
      <c r="P257" s="4"/>
      <c r="Q257" s="4"/>
      <c r="R257" s="4"/>
    </row>
    <row r="261" spans="1:18">
      <c r="A261" s="55" t="s">
        <v>81</v>
      </c>
      <c r="B261" s="55"/>
      <c r="C261" s="55"/>
      <c r="D261" s="55"/>
      <c r="E261" s="56"/>
      <c r="F261" s="56"/>
      <c r="G261" s="56"/>
      <c r="H261" s="56"/>
      <c r="I261" s="84"/>
    </row>
    <row r="262" spans="1:18">
      <c r="A262" t="s">
        <v>82</v>
      </c>
      <c r="B262" s="2">
        <f t="shared" ref="B262:D262" si="126">B163-B177-B186</f>
        <v>0</v>
      </c>
      <c r="C262" s="2">
        <f t="shared" si="126"/>
        <v>0</v>
      </c>
      <c r="D262" s="2">
        <f t="shared" si="126"/>
        <v>0</v>
      </c>
      <c r="E262" s="2">
        <f t="shared" ref="E262:Q262" si="127">E163-E177-E186</f>
        <v>0</v>
      </c>
      <c r="F262" s="2">
        <f t="shared" si="127"/>
        <v>0</v>
      </c>
      <c r="G262" s="2">
        <f t="shared" si="127"/>
        <v>0</v>
      </c>
      <c r="H262" s="2">
        <f t="shared" si="127"/>
        <v>0</v>
      </c>
      <c r="I262" s="2">
        <f t="shared" si="127"/>
        <v>0</v>
      </c>
      <c r="J262" s="2">
        <f t="shared" si="127"/>
        <v>0</v>
      </c>
      <c r="K262" s="2">
        <f t="shared" si="127"/>
        <v>0</v>
      </c>
      <c r="L262" s="2">
        <f t="shared" si="127"/>
        <v>0</v>
      </c>
      <c r="M262" s="2">
        <f t="shared" si="127"/>
        <v>-3.637978807091713E-12</v>
      </c>
      <c r="N262" s="2">
        <f t="shared" si="127"/>
        <v>7.2759576141834259E-12</v>
      </c>
      <c r="O262" s="2">
        <f t="shared" si="127"/>
        <v>-7.2759576141834259E-12</v>
      </c>
      <c r="P262" s="2">
        <f t="shared" si="127"/>
        <v>0</v>
      </c>
      <c r="Q262" s="2">
        <f t="shared" si="127"/>
        <v>0</v>
      </c>
      <c r="R262" s="2"/>
    </row>
  </sheetData>
  <phoneticPr fontId="5" type="noConversion"/>
  <pageMargins left="0.75" right="0.75" top="1" bottom="1" header="0.5" footer="0.5"/>
  <pageSetup orientation="portrait" horizontalDpi="200" verticalDpi="200" r:id="rId1"/>
  <headerFooter alignWithMargins="0"/>
  <ignoredErrors>
    <ignoredError sqref="S55 S66 B66:N66 B55:N5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="85" zoomScaleNormal="85" workbookViewId="0"/>
  </sheetViews>
  <sheetFormatPr defaultRowHeight="12.75"/>
  <cols>
    <col min="1" max="1" width="22.85546875" customWidth="1"/>
    <col min="2" max="2" width="10.28515625" bestFit="1" customWidth="1"/>
  </cols>
  <sheetData>
    <row r="1" spans="1:8">
      <c r="A1" s="1" t="s">
        <v>685</v>
      </c>
    </row>
    <row r="3" spans="1:8">
      <c r="A3" s="81" t="s">
        <v>729</v>
      </c>
      <c r="B3" s="2">
        <f>'Phys Input'!B26/12*(Resource!L63+Resource!Q63+Resource!S63+Resource!U63)/Resource!L63</f>
        <v>43731.85270242385</v>
      </c>
      <c r="C3" s="81" t="s">
        <v>730</v>
      </c>
    </row>
    <row r="6" spans="1:8">
      <c r="A6" s="223" t="s">
        <v>688</v>
      </c>
    </row>
    <row r="7" spans="1:8">
      <c r="A7" s="255"/>
      <c r="B7" s="256"/>
      <c r="C7" s="171" t="s">
        <v>719</v>
      </c>
      <c r="D7" s="171" t="s">
        <v>744</v>
      </c>
    </row>
    <row r="8" spans="1:8">
      <c r="A8" s="5" t="s">
        <v>689</v>
      </c>
      <c r="B8" s="6"/>
      <c r="C8" s="108">
        <v>0.9</v>
      </c>
      <c r="D8" s="108">
        <f>C8*'Phys Input'!$B$38</f>
        <v>2.5920000000000001</v>
      </c>
    </row>
    <row r="9" spans="1:8">
      <c r="A9" s="5" t="s">
        <v>690</v>
      </c>
      <c r="B9" s="6"/>
      <c r="C9" s="108">
        <v>0.9</v>
      </c>
      <c r="D9" s="108">
        <f>C9*'Phys Input'!$B$38</f>
        <v>2.5920000000000001</v>
      </c>
    </row>
    <row r="10" spans="1:8">
      <c r="A10" s="5" t="s">
        <v>691</v>
      </c>
      <c r="B10" s="253">
        <v>0.03</v>
      </c>
      <c r="C10" s="108">
        <f>SUM(C8:C9)*B10</f>
        <v>5.3999999999999999E-2</v>
      </c>
      <c r="D10" s="108">
        <f>C10*'Phys Input'!$B$38</f>
        <v>0.15551999999999999</v>
      </c>
      <c r="H10" s="81" t="s">
        <v>727</v>
      </c>
    </row>
    <row r="11" spans="1:8">
      <c r="A11" s="5" t="s">
        <v>692</v>
      </c>
      <c r="B11" s="253">
        <v>0.25</v>
      </c>
      <c r="C11" s="108">
        <f>SUM(C8:C9)*B11</f>
        <v>0.45</v>
      </c>
      <c r="D11" s="108">
        <f>C11*'Phys Input'!$B$38</f>
        <v>1.296</v>
      </c>
      <c r="H11" s="81" t="s">
        <v>728</v>
      </c>
    </row>
    <row r="12" spans="1:8">
      <c r="A12" s="5" t="s">
        <v>5</v>
      </c>
      <c r="B12" s="6"/>
      <c r="C12" s="108">
        <f>SUM(C8:C11)</f>
        <v>2.3040000000000003</v>
      </c>
      <c r="D12" s="108">
        <f>SUM(D8:D11)</f>
        <v>6.6355200000000005</v>
      </c>
    </row>
    <row r="13" spans="1:8">
      <c r="A13" s="7"/>
      <c r="B13" s="8"/>
      <c r="C13" s="180"/>
      <c r="D13" s="180"/>
    </row>
    <row r="15" spans="1:8">
      <c r="A15" s="1" t="s">
        <v>735</v>
      </c>
    </row>
    <row r="16" spans="1:8">
      <c r="A16" s="254"/>
      <c r="B16" s="163" t="s">
        <v>521</v>
      </c>
      <c r="C16" s="163" t="s">
        <v>714</v>
      </c>
      <c r="D16" s="163" t="s">
        <v>713</v>
      </c>
      <c r="E16" s="163" t="s">
        <v>719</v>
      </c>
      <c r="F16" s="163" t="s">
        <v>744</v>
      </c>
    </row>
    <row r="17" spans="1:6">
      <c r="A17" s="167"/>
      <c r="B17" s="169"/>
      <c r="C17" s="169"/>
      <c r="D17" s="169"/>
      <c r="E17" s="169" t="s">
        <v>701</v>
      </c>
      <c r="F17" s="169" t="s">
        <v>701</v>
      </c>
    </row>
    <row r="18" spans="1:6">
      <c r="A18" s="5" t="s">
        <v>50</v>
      </c>
      <c r="B18" s="6"/>
      <c r="C18" s="6"/>
      <c r="D18" s="6"/>
      <c r="E18" s="6"/>
      <c r="F18" s="6"/>
    </row>
    <row r="19" spans="1:6">
      <c r="A19" s="5" t="s">
        <v>708</v>
      </c>
      <c r="B19" s="109">
        <v>650000</v>
      </c>
      <c r="C19" s="6"/>
      <c r="D19" s="6"/>
      <c r="E19" s="6"/>
      <c r="F19" s="6"/>
    </row>
    <row r="20" spans="1:6">
      <c r="A20" s="5" t="s">
        <v>709</v>
      </c>
      <c r="B20" s="109">
        <v>350000</v>
      </c>
      <c r="C20" s="6"/>
      <c r="D20" s="6"/>
      <c r="E20" s="6"/>
      <c r="F20" s="6"/>
    </row>
    <row r="21" spans="1:6">
      <c r="A21" s="5" t="s">
        <v>710</v>
      </c>
      <c r="B21" s="109">
        <v>350000</v>
      </c>
      <c r="C21" s="6"/>
      <c r="D21" s="6"/>
      <c r="E21" s="6"/>
      <c r="F21" s="6"/>
    </row>
    <row r="22" spans="1:6">
      <c r="A22" s="5" t="s">
        <v>711</v>
      </c>
      <c r="B22" s="109">
        <v>350000</v>
      </c>
      <c r="C22" s="6"/>
      <c r="D22" s="6"/>
      <c r="E22" s="6"/>
      <c r="F22" s="6"/>
    </row>
    <row r="23" spans="1:6">
      <c r="A23" s="5" t="s">
        <v>712</v>
      </c>
      <c r="B23" s="109">
        <v>1300000</v>
      </c>
      <c r="C23" s="6"/>
      <c r="D23" s="6"/>
      <c r="E23" s="6"/>
      <c r="F23" s="6"/>
    </row>
    <row r="24" spans="1:6">
      <c r="A24" s="5" t="s">
        <v>386</v>
      </c>
      <c r="B24" s="109">
        <f>SUM(B19:B23)</f>
        <v>3000000</v>
      </c>
      <c r="C24" s="6"/>
      <c r="D24" s="109">
        <f>B24/60</f>
        <v>50000</v>
      </c>
      <c r="E24" s="108">
        <f>D24/$B$3</f>
        <v>1.1433313914283063</v>
      </c>
      <c r="F24" s="6"/>
    </row>
    <row r="25" spans="1:6">
      <c r="A25" s="5" t="s">
        <v>111</v>
      </c>
      <c r="B25" s="6"/>
      <c r="C25" s="6"/>
      <c r="D25" s="6"/>
      <c r="E25" s="6"/>
      <c r="F25" s="6"/>
    </row>
    <row r="26" spans="1:6">
      <c r="A26" s="5" t="s">
        <v>734</v>
      </c>
      <c r="B26" s="6"/>
      <c r="C26" s="109">
        <v>55</v>
      </c>
      <c r="D26" s="109">
        <f>C26*10*22</f>
        <v>12100</v>
      </c>
      <c r="E26" s="6"/>
      <c r="F26" s="6"/>
    </row>
    <row r="27" spans="1:6">
      <c r="A27" s="5" t="s">
        <v>715</v>
      </c>
      <c r="B27" s="6"/>
      <c r="C27" s="109">
        <v>45</v>
      </c>
      <c r="D27" s="109">
        <f t="shared" ref="D27:D31" si="0">C27*10*22</f>
        <v>9900</v>
      </c>
      <c r="E27" s="6"/>
      <c r="F27" s="6"/>
    </row>
    <row r="28" spans="1:6">
      <c r="A28" s="5" t="s">
        <v>709</v>
      </c>
      <c r="B28" s="6"/>
      <c r="C28" s="109">
        <v>45</v>
      </c>
      <c r="D28" s="109">
        <f t="shared" si="0"/>
        <v>9900</v>
      </c>
      <c r="E28" s="6"/>
      <c r="F28" s="6"/>
    </row>
    <row r="29" spans="1:6">
      <c r="A29" s="5" t="s">
        <v>710</v>
      </c>
      <c r="B29" s="6"/>
      <c r="C29" s="109">
        <v>45</v>
      </c>
      <c r="D29" s="109">
        <f t="shared" si="0"/>
        <v>9900</v>
      </c>
      <c r="E29" s="6"/>
      <c r="F29" s="6"/>
    </row>
    <row r="30" spans="1:6">
      <c r="A30" s="5" t="s">
        <v>711</v>
      </c>
      <c r="B30" s="6"/>
      <c r="C30" s="109">
        <v>45</v>
      </c>
      <c r="D30" s="109">
        <f t="shared" si="0"/>
        <v>9900</v>
      </c>
      <c r="E30" s="6"/>
      <c r="F30" s="6"/>
    </row>
    <row r="31" spans="1:6">
      <c r="A31" s="5" t="s">
        <v>712</v>
      </c>
      <c r="B31" s="6"/>
      <c r="C31" s="109">
        <v>45</v>
      </c>
      <c r="D31" s="109">
        <f t="shared" si="0"/>
        <v>9900</v>
      </c>
      <c r="E31" s="6"/>
      <c r="F31" s="6"/>
    </row>
    <row r="32" spans="1:6">
      <c r="A32" s="5" t="s">
        <v>386</v>
      </c>
      <c r="B32" s="6"/>
      <c r="C32" s="6"/>
      <c r="D32" s="109">
        <f>SUM(D26:D31)</f>
        <v>61600</v>
      </c>
      <c r="E32" s="108">
        <f>D32/$B$3</f>
        <v>1.4085842742396735</v>
      </c>
      <c r="F32" s="6"/>
    </row>
    <row r="33" spans="1:8">
      <c r="A33" s="5" t="s">
        <v>116</v>
      </c>
      <c r="B33" s="6"/>
      <c r="C33" s="6"/>
      <c r="D33" s="6"/>
      <c r="E33" s="6"/>
      <c r="F33" s="6"/>
    </row>
    <row r="34" spans="1:8">
      <c r="A34" s="5" t="s">
        <v>717</v>
      </c>
      <c r="B34" s="6"/>
      <c r="C34" s="6"/>
      <c r="D34" s="6"/>
      <c r="E34" s="6"/>
      <c r="F34" s="6"/>
    </row>
    <row r="35" spans="1:8">
      <c r="A35" s="5" t="s">
        <v>721</v>
      </c>
      <c r="B35" s="6"/>
      <c r="C35" s="109">
        <v>40</v>
      </c>
      <c r="D35" s="109">
        <f t="shared" ref="D35:D39" si="1">C35*10*22</f>
        <v>8800</v>
      </c>
      <c r="E35" s="6"/>
      <c r="F35" s="6"/>
    </row>
    <row r="36" spans="1:8">
      <c r="A36" s="5" t="s">
        <v>722</v>
      </c>
      <c r="B36" s="6"/>
      <c r="C36" s="109">
        <v>40</v>
      </c>
      <c r="D36" s="109">
        <f t="shared" si="1"/>
        <v>8800</v>
      </c>
      <c r="E36" s="6"/>
      <c r="F36" s="6"/>
    </row>
    <row r="37" spans="1:8">
      <c r="A37" s="5" t="s">
        <v>723</v>
      </c>
      <c r="B37" s="6"/>
      <c r="C37" s="109">
        <v>40</v>
      </c>
      <c r="D37" s="109">
        <f t="shared" si="1"/>
        <v>8800</v>
      </c>
      <c r="E37" s="6"/>
      <c r="F37" s="6"/>
    </row>
    <row r="38" spans="1:8">
      <c r="A38" s="5" t="s">
        <v>724</v>
      </c>
      <c r="B38" s="6"/>
      <c r="C38" s="109">
        <v>40</v>
      </c>
      <c r="D38" s="109">
        <f t="shared" si="1"/>
        <v>8800</v>
      </c>
      <c r="E38" s="6"/>
      <c r="F38" s="6"/>
    </row>
    <row r="39" spans="1:8">
      <c r="A39" s="5" t="s">
        <v>725</v>
      </c>
      <c r="B39" s="6"/>
      <c r="C39" s="109">
        <v>40</v>
      </c>
      <c r="D39" s="109">
        <f t="shared" si="1"/>
        <v>8800</v>
      </c>
      <c r="E39" s="6"/>
      <c r="F39" s="6"/>
    </row>
    <row r="40" spans="1:8">
      <c r="A40" s="5" t="s">
        <v>720</v>
      </c>
      <c r="B40" s="6"/>
      <c r="C40" s="109">
        <f>SUM(C35:C39)</f>
        <v>200</v>
      </c>
      <c r="D40" s="109">
        <f>SUM(D35:D39)</f>
        <v>44000</v>
      </c>
      <c r="E40" s="6"/>
      <c r="F40" s="6"/>
    </row>
    <row r="41" spans="1:8">
      <c r="A41" s="5" t="s">
        <v>718</v>
      </c>
      <c r="B41" s="6"/>
      <c r="C41" s="6"/>
      <c r="D41" s="6"/>
      <c r="E41" s="108">
        <v>0.4</v>
      </c>
      <c r="F41" s="6"/>
      <c r="H41" s="81" t="s">
        <v>726</v>
      </c>
    </row>
    <row r="42" spans="1:8">
      <c r="A42" s="5" t="s">
        <v>386</v>
      </c>
      <c r="B42" s="6"/>
      <c r="C42" s="6"/>
      <c r="D42" s="6"/>
      <c r="E42" s="6"/>
      <c r="F42" s="6"/>
    </row>
    <row r="43" spans="1:8">
      <c r="A43" s="5" t="s">
        <v>716</v>
      </c>
      <c r="B43" s="6"/>
      <c r="C43" s="6"/>
      <c r="D43" s="6"/>
      <c r="E43" s="6"/>
      <c r="F43" s="6"/>
    </row>
    <row r="44" spans="1:8">
      <c r="A44" s="5" t="s">
        <v>386</v>
      </c>
      <c r="B44" s="6"/>
      <c r="C44" s="6"/>
      <c r="D44" s="6"/>
      <c r="E44" s="108">
        <v>0.4</v>
      </c>
      <c r="F44" s="6"/>
      <c r="H44" s="81" t="s">
        <v>726</v>
      </c>
    </row>
    <row r="45" spans="1:8">
      <c r="A45" s="5" t="s">
        <v>731</v>
      </c>
      <c r="B45" s="6"/>
      <c r="C45" s="6"/>
      <c r="D45" s="6"/>
      <c r="E45" s="6"/>
      <c r="F45" s="6"/>
    </row>
    <row r="46" spans="1:8">
      <c r="A46" s="5" t="s">
        <v>386</v>
      </c>
      <c r="B46" s="6"/>
      <c r="C46" s="6"/>
      <c r="D46" s="6"/>
      <c r="E46" s="108">
        <f>SUM(E24:E44)</f>
        <v>3.3519156656679794</v>
      </c>
      <c r="F46" s="6"/>
    </row>
    <row r="47" spans="1:8">
      <c r="A47" s="5" t="s">
        <v>732</v>
      </c>
      <c r="B47" s="253">
        <v>0.03</v>
      </c>
      <c r="C47" s="6"/>
      <c r="D47" s="6"/>
      <c r="E47" s="108">
        <f>E46*B47</f>
        <v>0.10055746997003938</v>
      </c>
      <c r="F47" s="6"/>
      <c r="H47" s="81" t="s">
        <v>727</v>
      </c>
    </row>
    <row r="48" spans="1:8">
      <c r="A48" s="5" t="s">
        <v>733</v>
      </c>
      <c r="B48" s="253">
        <v>0.25</v>
      </c>
      <c r="C48" s="6"/>
      <c r="D48" s="6"/>
      <c r="E48" s="108">
        <f>E46*B48</f>
        <v>0.83797891641699485</v>
      </c>
      <c r="F48" s="6"/>
      <c r="H48" s="81" t="s">
        <v>728</v>
      </c>
    </row>
    <row r="49" spans="1:6">
      <c r="A49" s="5" t="s">
        <v>138</v>
      </c>
      <c r="B49" s="6"/>
      <c r="C49" s="6"/>
      <c r="D49" s="6"/>
      <c r="E49" s="108">
        <f>SUM(E46:E48)</f>
        <v>4.2904520520550138</v>
      </c>
      <c r="F49" s="108">
        <f>E49*'Phys Input'!B38</f>
        <v>12.356501909918439</v>
      </c>
    </row>
    <row r="50" spans="1:6">
      <c r="A50" s="8"/>
      <c r="B50" s="8"/>
      <c r="C50" s="8"/>
      <c r="D50" s="8"/>
      <c r="E50" s="8"/>
      <c r="F50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Title</vt:lpstr>
      <vt:lpstr>Phys Input</vt:lpstr>
      <vt:lpstr>Resource</vt:lpstr>
      <vt:lpstr>Physical</vt:lpstr>
      <vt:lpstr>Labour</vt:lpstr>
      <vt:lpstr>Input</vt:lpstr>
      <vt:lpstr>Costs</vt:lpstr>
      <vt:lpstr>Financial</vt:lpstr>
      <vt:lpstr>Hazell</vt:lpstr>
      <vt:lpstr>Raw</vt:lpstr>
    </vt:vector>
  </TitlesOfParts>
  <Company>Gemell Mining Engineers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Gemell</dc:creator>
  <cp:lastModifiedBy>Alan</cp:lastModifiedBy>
  <dcterms:created xsi:type="dcterms:W3CDTF">2005-07-28T00:24:49Z</dcterms:created>
  <dcterms:modified xsi:type="dcterms:W3CDTF">2015-07-23T00:13:53Z</dcterms:modified>
</cp:coreProperties>
</file>